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8855" windowHeight="3000" firstSheet="4" activeTab="5"/>
  </bookViews>
  <sheets>
    <sheet name="PLANILHA INICIAL" sheetId="1" r:id="rId1"/>
    <sheet name="PLANILHA DA PROPOSTA" sheetId="2" r:id="rId2"/>
    <sheet name=" ÚLTIMA MEDIÇÃO - BM Nº5" sheetId="3" r:id="rId3"/>
    <sheet name="REPROGRAMAÇÃO - AS BUILT" sheetId="4" r:id="rId4"/>
    <sheet name="PLANILHA NOVA LICITAÇÃO" sheetId="5" r:id="rId5"/>
    <sheet name="CRONOGRAMA FÍSICO-FINANCEIRO" sheetId="6" r:id="rId6"/>
    <sheet name="MEMÓRIA DE CÁLCULO" sheetId="7" r:id="rId7"/>
  </sheets>
  <externalReferences>
    <externalReference r:id="rId10"/>
  </externalReferences>
  <definedNames>
    <definedName name="_xlnm.Print_Area" localSheetId="5">'CRONOGRAMA FÍSICO-FINANCEIRO'!$A$1:$K$65</definedName>
    <definedName name="_xlnm.Print_Area" localSheetId="6">'MEMÓRIA DE CÁLCULO'!$A$1:$I$161</definedName>
    <definedName name="_xlnm.Print_Area" localSheetId="4">'PLANILHA NOVA LICITAÇÃO'!$A$1:$L$180</definedName>
    <definedName name="_xlnm.Print_Area" localSheetId="3">'REPROGRAMAÇÃO - AS BUILT'!$A$1:$L$183</definedName>
    <definedName name="_xlnm.Print_Titles" localSheetId="5">'CRONOGRAMA FÍSICO-FINANCEIRO'!$1:$15</definedName>
    <definedName name="_xlnm.Print_Titles" localSheetId="6">'MEMÓRIA DE CÁLCULO'!$1:$17</definedName>
    <definedName name="_xlnm.Print_Titles" localSheetId="4">'PLANILHA NOVA LICITAÇÃO'!$1:$87</definedName>
    <definedName name="_xlnm.Print_Titles" localSheetId="3">'REPROGRAMAÇÃO - AS BUILT'!$1:$19</definedName>
  </definedNames>
  <calcPr fullCalcOnLoad="1"/>
</workbook>
</file>

<file path=xl/sharedStrings.xml><?xml version="1.0" encoding="utf-8"?>
<sst xmlns="http://schemas.openxmlformats.org/spreadsheetml/2006/main" count="1328" uniqueCount="442">
  <si>
    <t>ITEM</t>
  </si>
  <si>
    <t>DESCRIÇÃO</t>
  </si>
  <si>
    <t>UNIDADE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</si>
  <si>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</si>
  <si>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</si>
  <si>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</si>
  <si>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</si>
  <si>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</si>
  <si>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</si>
  <si>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</si>
  <si>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</si>
  <si>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</si>
  <si>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M2</t>
  </si>
  <si>
    <t>1.1</t>
  </si>
  <si>
    <t>2.1</t>
  </si>
  <si>
    <t>2.2</t>
  </si>
  <si>
    <t>2.3</t>
  </si>
  <si>
    <t>M3</t>
  </si>
  <si>
    <t>M</t>
  </si>
  <si>
    <t>( X )</t>
  </si>
  <si>
    <t>INSTALAÇÕES INICIAIS</t>
  </si>
  <si>
    <t>LIMPEZA GERAL</t>
  </si>
  <si>
    <t>Engenheiro responsável técnico pela elaboração da planilha</t>
  </si>
  <si>
    <t>Clifford Peterle Rezende - Engenheiro Civil</t>
  </si>
  <si>
    <t>3.1</t>
  </si>
  <si>
    <t>4.1</t>
  </si>
  <si>
    <t>UNID.</t>
  </si>
  <si>
    <t>3.3</t>
  </si>
  <si>
    <t>CREAMG Nº56.477/D</t>
  </si>
  <si>
    <t>TOTAL</t>
  </si>
  <si>
    <t>DRENAGEM PLUVIAL</t>
  </si>
  <si>
    <t>URBANIZAÇÃO E OBRAS COMPLEMENTARES</t>
  </si>
  <si>
    <t>5.1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</si>
  <si>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</si>
  <si>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</si>
  <si>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</si>
  <si>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</si>
  <si>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</si>
  <si>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</si>
  <si>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</si>
  <si>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</si>
  <si>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Físico %</t>
  </si>
  <si>
    <t>Financeiro</t>
  </si>
  <si>
    <t xml:space="preserve"> </t>
  </si>
  <si>
    <t>Observações:</t>
  </si>
  <si>
    <t>MEMÓRIA</t>
  </si>
  <si>
    <t>-</t>
  </si>
  <si>
    <t>74209/001</t>
  </si>
  <si>
    <t>PLACA DE OBRA EM CHAPA DE ACO GALVANIZADO</t>
  </si>
  <si>
    <t>MEIO-FIO DE CONCRETO PRE-MOLDADO 12 X 30 CM, SOBRE BASE DE CONCRETO SIMPLES E REJUNTADO COM ARGAMASSA TRACO 1:3 (CIMENTO E AREIA)</t>
  </si>
  <si>
    <t>74012/001</t>
  </si>
  <si>
    <t>REGULARIZACAO E COMPACTACAO DE SUBLEITO ATE 20 CM DE ESPESSURA</t>
  </si>
  <si>
    <t>73904/001</t>
  </si>
  <si>
    <t>ATERRO APILOADO(MANUAL) EM CAMADAS DE 20 CM COM MATERIAL DE EMPRÉSTIMO</t>
  </si>
  <si>
    <t>A N E X O   I I I</t>
  </si>
  <si>
    <t>1.2</t>
  </si>
  <si>
    <t>2.4</t>
  </si>
  <si>
    <t>2.5</t>
  </si>
  <si>
    <t>3.2</t>
  </si>
  <si>
    <t>4.2</t>
  </si>
  <si>
    <t>R. T. CLIFFORD PETERLE REZENDE - CREAMG Nº56.477/D</t>
  </si>
  <si>
    <t>2.6</t>
  </si>
  <si>
    <t>VIAS PÚBLICAS E ESPECIFICAÇÃO DE SERVIÇOS</t>
  </si>
  <si>
    <t>ITENS</t>
  </si>
  <si>
    <t>ALT./ESP.</t>
  </si>
  <si>
    <t>QUANT.</t>
  </si>
  <si>
    <t>SARJETA EM CONCRETO, PREPARO MANUAL, COM SEIXO ROLADO, ESPESSURA = 8CM, LARGURA = 40CM</t>
  </si>
  <si>
    <t>SINALIZAÇÃO URBANA</t>
  </si>
  <si>
    <t>6.1</t>
  </si>
  <si>
    <t>SICRO - 4 S 06 110 01</t>
  </si>
  <si>
    <t>PINTURA DE SINALIZAÇÃO DE FAIXA DE PEDESTRES COM TERMOPLÁLTICO - 3 ANOS (P/ASPERSÃO)</t>
  </si>
  <si>
    <t>SICRO - 4 S 06 200 01</t>
  </si>
  <si>
    <t>FORNECIMENTO E INSTALAÇÃO DE PLACA DE  SINALIZAÇÃO SEMI-REFLETIVA</t>
  </si>
  <si>
    <t>PINTURA ACRILICA EM PISO CIMENTADO DUAS DEMAOS</t>
  </si>
  <si>
    <t>73916/002</t>
  </si>
  <si>
    <t>PLACA ESMALTADA PARA IDENTIFICAÇÃO NR DE RUA, DIMENSÕES 45X25CM</t>
  </si>
  <si>
    <t>5.2</t>
  </si>
  <si>
    <t>5.3</t>
  </si>
  <si>
    <t>5.4</t>
  </si>
  <si>
    <t>PASSEIO EM CONCRETO DESEMPENADO, TRACO 1:2,5:3,5, ESPESSURA 5CM, INCLUSIVE RAMPA PARA PORTADORES DE NECESSIDADES ESPECIAIS</t>
  </si>
  <si>
    <t xml:space="preserve">DMT ou QUANT. </t>
  </si>
  <si>
    <t>CONFERÊNCIA</t>
  </si>
  <si>
    <t>74245/001</t>
  </si>
  <si>
    <t>CONTRAPARTIDA =</t>
  </si>
  <si>
    <t>APILOAMENTO COM MACO DE 30KG</t>
  </si>
  <si>
    <t>74015/001</t>
  </si>
  <si>
    <t>REATERRO E COMPACTACAO MECANICO DE VALA COM COMPACTADOR MANUAL TIPO SOQUETE VIBRATORIO</t>
  </si>
  <si>
    <t>73950/001</t>
  </si>
  <si>
    <t>BOCA DE LOBO EM ALVENARIA TIJOLO MACICO, REVESTIDA C/ ARGAMASSA DE CIMENTO E AREIA 1:3, SOBRE LASTRO DE CONCRETO 10CM E TAMPA DE CONCRETO ARMADO</t>
  </si>
  <si>
    <t>POCO DE VISITA EM ALVENARIA, PARA REDE D=0,40 M, PARTE FIXA C/ 1,00 M DE ALTURA</t>
  </si>
  <si>
    <t>2.7</t>
  </si>
  <si>
    <t>2.8</t>
  </si>
  <si>
    <t>2.9</t>
  </si>
  <si>
    <t>APURAÇÃO DA ÁREA A SER EXECUTADA SUBTRAINDO A ÁREA JÁ EXECUTADA E PAGA</t>
  </si>
  <si>
    <t>FÍSICO-FINANCEIRO</t>
  </si>
  <si>
    <t>unid</t>
  </si>
  <si>
    <t>QUANT</t>
  </si>
  <si>
    <t>PREÇO UNITÁRIO S/ BDI</t>
  </si>
  <si>
    <t>PREÇO UNITÁRIO C/ BDI</t>
  </si>
  <si>
    <t>Valor Total</t>
  </si>
  <si>
    <t>Total das Medições</t>
  </si>
  <si>
    <t>A Executar</t>
  </si>
  <si>
    <t>Quant</t>
  </si>
  <si>
    <t>Valor</t>
  </si>
  <si>
    <t>74209</t>
  </si>
  <si>
    <t>Aquisição e assentamento de placa de obra</t>
  </si>
  <si>
    <t>Placa de obra em aço galvanizado</t>
  </si>
  <si>
    <t>m²</t>
  </si>
  <si>
    <t>Execução de aguas pluviais e boca de lobo</t>
  </si>
  <si>
    <t>Caixa tipo boca de lobo 30x90x90 cm, em alvenaria, tijolo maciço 1 vez, revestida com argamassa 1:4, cimento:areia, sobre base de concreto simples fck=10 mpa, com grelha FOFO 135 kg, incluindo escavação e reaterro</t>
  </si>
  <si>
    <t>unidade</t>
  </si>
  <si>
    <t>26562</t>
  </si>
  <si>
    <t>Tubo de concreto simples classe C-1 D=400 mm, coletor de água pluv, rejuntamento com argamassa cimento/areia 1:4, aterro/soca até a geratriz sup tubo, fornec/assent inclusive tub/mat para rejunte</t>
  </si>
  <si>
    <t>m</t>
  </si>
  <si>
    <t>Execução de Pavimentação e Meio fio</t>
  </si>
  <si>
    <t>72961</t>
  </si>
  <si>
    <t>Regularização e compactação de subleito até 20 cm de espessura</t>
  </si>
  <si>
    <t>74147/001</t>
  </si>
  <si>
    <t>Piso em bloco sextavado 30x30 cm, espessura 8 cm, assentado sobre colchão de areia de espessura de 6 cm.</t>
  </si>
  <si>
    <t>73763/002</t>
  </si>
  <si>
    <t>Meio Fio (guia) de concreto pré moldado, dimensões 12x15x30x100 cm (face superior x face inferior x altura x cumprimento), rejuntado com argamassa 1:4, cimento:areia, incluindo escavação e reaterro Sarjeta em concreto, preparo manual, com seixo rolado, espessura 8 cm</t>
  </si>
  <si>
    <t>Sinalização Viária</t>
  </si>
  <si>
    <t>Placas de identificação de logradouro em chapa galvanizada NUM.18 12x18 cm, com poste para suporte e fixação em aço 2,5", com espessura de 2,5 e altura de 2,50 m</t>
  </si>
  <si>
    <t>Placa esmaltada para sinalização vertical - Pare, dimensões 60x60 cm, com poste para suporte e fixação em aço 2,5", com espessura de 2,5 e altura de 2,50 m</t>
  </si>
  <si>
    <t>QUANTIDADE PREVISTA</t>
  </si>
  <si>
    <t>VALOR PREVISTO</t>
  </si>
  <si>
    <t>LARGURA MÉDIA</t>
  </si>
  <si>
    <t>PINTURA DE SINALIZAÇÃO DE FAIXA DE RETENÇÃO COM TERMOPLÁLTICO - 3 ANOS (P/ASPERSÃO)</t>
  </si>
  <si>
    <t>5.5</t>
  </si>
  <si>
    <t>5.6</t>
  </si>
  <si>
    <t>2.10</t>
  </si>
  <si>
    <t>SICRO - 4 S 06 203 01</t>
  </si>
  <si>
    <t>CONFECÇÃO E IMPLANTAÇÃO DE SUPORTE E TRAVESSA PARA PLACA DE SINALIZAÇÃO</t>
  </si>
  <si>
    <t>REPASSE =</t>
  </si>
  <si>
    <t>TOTAL GERAL DA OBRA</t>
  </si>
  <si>
    <t>PRAZO DE EXECUÇÃO: 06 MESES</t>
  </si>
  <si>
    <t>PLANILHA ORÇAMENTÁRIA DE CUSTOS</t>
  </si>
  <si>
    <t>CRONOGRAMA FÍSICO-FINANCEIRO</t>
  </si>
  <si>
    <t>ANEXO II - MEMÓRIA DE CÁLCULO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</si>
  <si>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</si>
  <si>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</si>
  <si>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</si>
  <si>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</si>
  <si>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</si>
  <si>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</si>
  <si>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</si>
  <si>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</si>
  <si>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</si>
  <si>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</si>
  <si>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</si>
  <si>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</si>
  <si>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</si>
  <si>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</si>
  <si>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1.6.1</t>
  </si>
  <si>
    <t>RESUMO GERAL</t>
  </si>
  <si>
    <t>FORNECIMENTO, ASSENTAMENTO E REJUNTAMENTO COM ARGAMASSA 1:3 DE TUBO DE CONCRETO SIMPLES, CLASSE- PS1, PB, DN 300 MM, PARA AGUAS PLUVIAIS (NBR8890)</t>
  </si>
  <si>
    <t>92808 + INSUMO 7796</t>
  </si>
  <si>
    <t>TUBO DE CONCRETO PARA REDES COLETORAS DE ÁGUAS PLUVIAIS, DIÂMETRO DE 600 MM, JUNTA RÍGIDA, INSTALADO EM LOCAL COM BAIXO NÍVEL DE INTERFERÊNCIAS - FORNECIMENTO E ASSENTAMENTO. AF_12/2015</t>
  </si>
  <si>
    <t>POCO DE VISITA EM ALVENARIA, PARA REDE D=0,60 M, PARTE FIXA C/ 1,00 M DE ALTURA</t>
  </si>
  <si>
    <t>4.3</t>
  </si>
  <si>
    <t>RV 14.95.0050 (A)</t>
  </si>
  <si>
    <t>COMPOSIÇÃO ABERTA - VER ANEXO X</t>
  </si>
  <si>
    <t>MAT097100</t>
  </si>
  <si>
    <t xml:space="preserve">EVE000050 </t>
  </si>
  <si>
    <t xml:space="preserve">RSE901500 </t>
  </si>
  <si>
    <t>Piso alerta em placas marmorizadas, vibro-prensadas, cor cinza, de (40x40x3,50)cm</t>
  </si>
  <si>
    <t>3% incidente sobre mao de obra direta com Encargos Sociais para cobrir despesas de EPI e ferramentas</t>
  </si>
  <si>
    <t>C. UNIT.</t>
  </si>
  <si>
    <t>m2</t>
  </si>
  <si>
    <t xml:space="preserve">h </t>
  </si>
  <si>
    <t>%</t>
  </si>
  <si>
    <t>m3</t>
  </si>
  <si>
    <t>MOD902150</t>
  </si>
  <si>
    <t>MOD902450</t>
  </si>
  <si>
    <t>REFERÊNCIA COMPOSIÇÃO CATÁLAGO SCO-RJ - 01/2016</t>
  </si>
  <si>
    <t>C. DIRETO</t>
  </si>
  <si>
    <t>2.11</t>
  </si>
  <si>
    <t>TUBO DE CONCRETO PARA REDES COLETORAS DE ÁGUAS PLUVIAIS, DIÂMETRO DE 400 MM, JUNTA RÍGIDA, INSTALADO EM LOCAL COM BAIXO NÍVEL DE INTERFERÊNCIAS - FORNECIMENTO E ASSENTAMENTO. AF_12/2015</t>
  </si>
  <si>
    <t>PROPONENTE: PREFEITURA MUNICIPAL DE SÃO THOMÉ DAS LETRAS-MG</t>
  </si>
  <si>
    <t>PAVIMENTAÇÃO EM CBUQ</t>
  </si>
  <si>
    <t>M3XKM</t>
  </si>
  <si>
    <t>TXKM</t>
  </si>
  <si>
    <t>Praça Barão de Alfenas, nº100 – Centro – São Thomé das Letras – MG</t>
  </si>
  <si>
    <t>PREFEITURA MUNICIPAL DE SÃO THOMÉ DAS LETRAS-MG</t>
  </si>
  <si>
    <t xml:space="preserve">74151/001 </t>
  </si>
  <si>
    <t>ESCAVACAO E CARGA MATERIAL 1A CATEGORIA, UTILIZANDO TRATOR DE ESTEIRAS DE 110 A 160HP COM LAMINA, PESO OPERACIONAL * 13T E PA CARREGADEIRA
COM 170 HP (EXECUÇÃO DE BASE).</t>
  </si>
  <si>
    <t>CARGA, MANOBRAS E DESCARGA DE AREIA, BRITA, PEDRA DE MAO E SOLOS COM CAMINHAO BASCULANTE 6 M3 (DESCARGA LIVRE)</t>
  </si>
  <si>
    <t>3.4</t>
  </si>
  <si>
    <t>3.5</t>
  </si>
  <si>
    <t>3.6</t>
  </si>
  <si>
    <t>TRANSPORTE DE PAVIMENTACAO REMOVIDA (RODOVIAS NAO URBANAS)</t>
  </si>
  <si>
    <t>3.7</t>
  </si>
  <si>
    <t>3.8</t>
  </si>
  <si>
    <t>3.9</t>
  </si>
  <si>
    <t>3.10</t>
  </si>
  <si>
    <t>3.11</t>
  </si>
  <si>
    <t>3.12</t>
  </si>
  <si>
    <t>IMPRIMACAO DE BASE DE PAVIMENTACAO COM EMULSAO CM-30</t>
  </si>
  <si>
    <t>T</t>
  </si>
  <si>
    <t>TRANSPORTE COMERCIAL COM CAMINHAO BASCULANTE 6 M3, RODOVIA EM LEITO NATURAL (EXECUÇÃO DE BASE)</t>
  </si>
  <si>
    <t>PROPOSTA SICONV MC Nº027548/2015</t>
  </si>
  <si>
    <t>CEP: 37.408-000 – Telefax: (35)3237-1223 – CNPJ: 18.008.920/0001-11</t>
  </si>
  <si>
    <t>1.3.3</t>
  </si>
  <si>
    <t>1.3.4</t>
  </si>
  <si>
    <t>1.3.5</t>
  </si>
  <si>
    <t>1.3.7</t>
  </si>
  <si>
    <t>1.3.8</t>
  </si>
  <si>
    <t>1.3.9</t>
  </si>
  <si>
    <t>1.3.10</t>
  </si>
  <si>
    <t>1.3.12</t>
  </si>
  <si>
    <t>INDICES OU VARIANTES</t>
  </si>
  <si>
    <t>CM 30 - MEMÓRIA DE CÁLCULO</t>
  </si>
  <si>
    <t>COMP. MÉD. ou QUANT.</t>
  </si>
  <si>
    <t>/M2</t>
  </si>
  <si>
    <t>INTENVERÇÃO NOS CANTEIROS CENTRAIS</t>
  </si>
  <si>
    <t>6.2</t>
  </si>
  <si>
    <t>6.3</t>
  </si>
  <si>
    <t>6.4</t>
  </si>
  <si>
    <t>6.5</t>
  </si>
  <si>
    <t>6.6</t>
  </si>
  <si>
    <t>7.1</t>
  </si>
  <si>
    <t>DEMOLIÇÃO DE PAVIMENTAÇÃO ASFÁLTICA COM UTILIZAÇÃO DE MARTELO PERFURADOR, ESPESSURA ATÉ 15 CM, EXCLUSIVE CARGA E TRANSPORTE</t>
  </si>
  <si>
    <t>DEMOLICAO DE ALVENARIA DE ELEMENTOS CERAMICOS VAZADOS</t>
  </si>
  <si>
    <t>ESCAVAÇÃO MECANIZADA DE VALA COM PROFUNDIDADE ATÉ 1,5 M, COM RETROESCAVADEIRA (CAPACIDADE DA CAÇAMBA DA RETRO: 0,26 M3 / POTÊNCIA: 88 HP), LARGURA DE 0,8 M A 1,5 M, EM SOLO DE 1A CATEGORIA, EM VIAS URBANAS. AF_01/2015</t>
  </si>
  <si>
    <t>ALVENARIA DE VEDAÇÃO DE BLOCOS VAZADOS DE CONCRETO DE 19X19X39CM (ESPESSURA 19CM) DE PAREDES COM ÁREA LÍQUIDA MENOR QUE 6M² COM VÃOS E ARGAMASSA DE ASSENTAMENTO COM PREPARO EM BETONEIRA. AF_06/2014</t>
  </si>
  <si>
    <t>CHAPISCO APLICADO TANTO EM PILARES E VIGAS DE CONCRETO COMO EM ALVENARIAS DE PAREDES EXTERNAS, COM COLHER DE PEDREIRO.  ARGAMASSA TRAÇO 1:3 COM PREPARO MANUAL. AF_06/2014</t>
  </si>
  <si>
    <t>REVESTIMENTO DE PAREDE COM PEDRA SAO TOME 20X40CM, ASSENTAMENTO COM ARGAMASSA TRACO 1:2:2 (CIMENTO, SAIBRO E AREIA MEDIA NÃO PENEIRADA), PREPARO MANUAL DA ARGAMASSA</t>
  </si>
  <si>
    <t>REATERRO APILOADO EM CAMADAS 0,20M, UTILIZANDO MATERIAL ARGILO-ARENOSO ADQUIRIDO EM JAZIDA, JÁ CONSIDERANDO UM ACRÉSCIMO DE 25% NO VOLUME DO MATERIAL ADQUIRIDO, NÃO CONSIDERANDO O TRANSPORTE ATÉ O REATERRO</t>
  </si>
  <si>
    <t>1.6.2</t>
  </si>
  <si>
    <t>1.6.6</t>
  </si>
  <si>
    <t>1.3.65</t>
  </si>
  <si>
    <t>1.3.13</t>
  </si>
  <si>
    <t>MEMÓRIA DE CÁLCULO = 8.371,65+54,67</t>
  </si>
  <si>
    <t>MEMÓRIA DE CÁLCULO= 8.426,32 - (840,50*0,40)</t>
  </si>
  <si>
    <t>OBJETO: PAVIMENTAÇÃO DE VIAS URBANAS NO MUNICÍPIO DE SÃO THOMÉ DAS LETRAS-MG.</t>
  </si>
  <si>
    <t>LOCAIS: RUA EVARISTO CARDOSO DA SILVA E AV. INTENDENTE TOMÉ MENDES PEIXOTO - CENTRO.</t>
  </si>
  <si>
    <t>TRANSPORTE COMERCIAL COM CAMINHAO BASCULANTE 6 M3, RODOVIA PAVIMENTADA (CM-30)</t>
  </si>
  <si>
    <t>BASE DE SOLO ESTABILIZADO SEM MISTURA, COMPACTACAO 100% PROCTOR NORMAL, EXCLUSIVE ESCAVACAO, CARGA E TRANSPORTE DO SOLO</t>
  </si>
  <si>
    <t>ESCAVACAO E CARGA MATERIAL 1A CATEGORIA, UTILIZANDO TRATOR DE ESTEIRAS DE 110 A 160HP COM LAMINA, PESO OPERACIONAL * 13T E PA CARREGADEIRA COM 170 HP (DEMOLIÇÃO DE ASFALTO E REMOÇÃO DE BASE PARA SUBSTITUIÇÃO).</t>
  </si>
  <si>
    <t>3806/001</t>
  </si>
  <si>
    <t>LIMPEZA DE SUPERFICIES COM JATO DE ALTA PRESSAO DE AR E AGUA</t>
  </si>
  <si>
    <t>DECLARAÇÃO:</t>
  </si>
  <si>
    <t>Piso de alerta em placas marmorizadas vibro-prensadas, Tecnogran ou similar, com acabamento rustico, na cor cinza, inclusive contrapiso com espessura de 3cm. Fornecimento e colocacao.</t>
  </si>
  <si>
    <t>Pedreiro: assentamento de tijolo, bloco de concreto, servicos de lancamento de concreto</t>
  </si>
  <si>
    <t>Servente</t>
  </si>
  <si>
    <t>Argamassa de cimento e areia, no traco 1:3</t>
  </si>
  <si>
    <r>
      <t xml:space="preserve">OS ENCARGOS SOCIAIS APLICADOS À MÃO-DE-OBRA (HORISTA E MENSALISTA) </t>
    </r>
    <r>
      <rPr>
        <b/>
        <sz val="8"/>
        <color indexed="8"/>
        <rFont val="Arial"/>
        <family val="2"/>
      </rPr>
      <t>SEM DESONERAÇÃO</t>
    </r>
    <r>
      <rPr>
        <sz val="8"/>
        <color indexed="8"/>
        <rFont val="Arial"/>
        <family val="2"/>
      </rPr>
      <t xml:space="preserve"> SÃO OS ESTABELIECIDOS PELO SINAPI/MG.</t>
    </r>
  </si>
  <si>
    <r>
      <t xml:space="preserve">REFERÊNCIA: SINAPI MG_ JANEIRO/2016 </t>
    </r>
    <r>
      <rPr>
        <b/>
        <u val="single"/>
        <sz val="10"/>
        <rFont val="Arial"/>
        <family val="2"/>
      </rPr>
      <t>SEM DESONERAÇÃO</t>
    </r>
    <r>
      <rPr>
        <b/>
        <sz val="10"/>
        <rFont val="Arial"/>
        <family val="2"/>
      </rPr>
      <t xml:space="preserve"> E SICRO MG_SETEMBRO/2015 </t>
    </r>
    <r>
      <rPr>
        <b/>
        <u val="single"/>
        <sz val="10"/>
        <rFont val="Arial"/>
        <family val="2"/>
      </rPr>
      <t>SEM DESONERAÇÃO</t>
    </r>
    <r>
      <rPr>
        <b/>
        <sz val="10"/>
        <rFont val="Arial"/>
        <family val="2"/>
      </rPr>
      <t xml:space="preserve"> - ENCARGOS SOCIAIS </t>
    </r>
    <r>
      <rPr>
        <b/>
        <u val="single"/>
        <sz val="10"/>
        <rFont val="Arial"/>
        <family val="2"/>
      </rPr>
      <t>SEM DESONERAÇÃO</t>
    </r>
    <r>
      <rPr>
        <b/>
        <sz val="10"/>
        <rFont val="Arial"/>
        <family val="2"/>
      </rPr>
      <t>: 120,53% (HORA) E 76,79% (MÊS).</t>
    </r>
  </si>
  <si>
    <t>73962/013</t>
  </si>
  <si>
    <t>ESCAVACAO DE VALA NAO ESCORADA EM MATERIAL 1A CATEGORIA , PROFUNDIDADE ATE 1,5 M COM ESCAVADEIRA HIDRAULICA 105 HP (CAPACIDADE DE 0,78M3), SEM ESGOTAMENTO</t>
  </si>
  <si>
    <t>TRANSPORTE COMERCIAL COM CAMINHAO CARROCERIA 9 T, RODOVIA PAVIMENTADA</t>
  </si>
  <si>
    <t xml:space="preserve"> FABRICAÇÃO E APLICAÇÃO DE CONCRETO BETUMINOSO USINADO A QUENTE (CBUQ), CAP 50/70, EXCLUSIVE TRANSPORTE</t>
  </si>
  <si>
    <t>2.12</t>
  </si>
  <si>
    <t>TAMPAO DE FERRO FUNDIDO, D = 60CM, 175KG, P = CHAMINE CX AREIA/POCO VISITA ASSENTADO COM ARG CIM/AREIA 1:4, FORNECIMENTO E ASSENTAMENTO</t>
  </si>
  <si>
    <t>1.2.12</t>
  </si>
  <si>
    <t>RUA EVARISTO CARDOSO DA SILVA E AV. INTENDENTE TOMÉ MENDES PEIXOTO</t>
  </si>
  <si>
    <t>TRÊS CORAÇÕES, 22 DE JUNHO DE 2016.</t>
  </si>
  <si>
    <t>A</t>
  </si>
  <si>
    <t>PREFEITURA MUNICIPAL DE SÃO THOME DAS LETRAS</t>
  </si>
  <si>
    <t xml:space="preserve">COMISSÃO PERMANENTE DE LICITAÇÕES </t>
  </si>
  <si>
    <t>TOMADA DE PREÇOS Nº 005/2016</t>
  </si>
  <si>
    <t>PROCESSO LICITATORIO Nº 055/2016</t>
  </si>
  <si>
    <t>DATA:22/06/2016</t>
  </si>
  <si>
    <t>TOTAL: R$ 570.087,86 ( quinhentos setenta mil e oitenta sete reais e oitenta seis centavos).</t>
  </si>
  <si>
    <t xml:space="preserve">Validade: 60 dias </t>
  </si>
  <si>
    <t>CONSTRUTORA NIEMEYER LTDA</t>
  </si>
  <si>
    <t>CNPJ 07.636.375/0001-91</t>
  </si>
  <si>
    <t>Alexandre Martins Niemeyer</t>
  </si>
  <si>
    <t>RG:   MG - 5.811.273</t>
  </si>
  <si>
    <t>CPF: 739.019.896-68</t>
  </si>
  <si>
    <t xml:space="preserve">     Administrador</t>
  </si>
  <si>
    <t>QUANTIDADE PREVISTA INICIAL</t>
  </si>
  <si>
    <t>QUANTIDADE À REPROGRAMAR</t>
  </si>
  <si>
    <t>VALOR PREVISTO INICIAL</t>
  </si>
  <si>
    <t>VALOR À REPROGRAMAR</t>
  </si>
  <si>
    <t>Grau de Sigilo</t>
  </si>
  <si>
    <t>BOLETIM DE MEDIÇÃO</t>
  </si>
  <si>
    <t>#00</t>
  </si>
  <si>
    <t>Nº do CTEF (Contrato Execução/Fornecimento)</t>
  </si>
  <si>
    <t>BM - número</t>
  </si>
  <si>
    <t>BM - Data emissão</t>
  </si>
  <si>
    <t>BM - Período de referência da medição</t>
  </si>
  <si>
    <t xml:space="preserve">Nº do CT  </t>
  </si>
  <si>
    <t>Data do CT</t>
  </si>
  <si>
    <t>052/2016</t>
  </si>
  <si>
    <t>de</t>
  </si>
  <si>
    <t>a</t>
  </si>
  <si>
    <t>2691.1023.934-38/821438/2015</t>
  </si>
  <si>
    <t>Início da obra - data</t>
  </si>
  <si>
    <t>Prev. término obra atualiz.</t>
  </si>
  <si>
    <t>Empresa Contratada</t>
  </si>
  <si>
    <t>CNPJ</t>
  </si>
  <si>
    <t>CONSTRUTORA NIEMEYER LTDA.</t>
  </si>
  <si>
    <t>07.636.375/0001-91</t>
  </si>
  <si>
    <t>P. M. DE SÃO THOMÉ DAS LETRAS</t>
  </si>
  <si>
    <t>CTEF- Valor total inicial  (R$)</t>
  </si>
  <si>
    <t>CTEF - dt assinatura</t>
  </si>
  <si>
    <t>Objeto do CTEF ( resumido)</t>
  </si>
  <si>
    <t>PAVIMENTAÇÃO DE VIAS URBANAS NO MUNICÍPIO DE S. THOMÉ DAS LETRAS-MG.</t>
  </si>
  <si>
    <t>CAIXA</t>
  </si>
  <si>
    <t>CTEF- Valor total atual (R$)</t>
  </si>
  <si>
    <t>CTEF- dt último Adit.</t>
  </si>
  <si>
    <t>Local da obra ( Bairro / Município / UF)</t>
  </si>
  <si>
    <t>Fonte de Recursos</t>
  </si>
  <si>
    <t>outra (descrever):</t>
  </si>
  <si>
    <t>R. EVARISTO C. DA SILVA E AV. INTENDENTE TOMÉ MENDES PEIXOTO - CENTRO.</t>
  </si>
  <si>
    <t>X</t>
  </si>
  <si>
    <t>OGU</t>
  </si>
  <si>
    <t xml:space="preserve">FGTS  ou </t>
  </si>
  <si>
    <t>Previsto no Orçamento</t>
  </si>
  <si>
    <t>Executado Físico (%)</t>
  </si>
  <si>
    <t>Executado Financeiro (R$)</t>
  </si>
  <si>
    <t>Discriminação dos serviços do Orçamento</t>
  </si>
  <si>
    <t>Unid</t>
  </si>
  <si>
    <t>Qtdes</t>
  </si>
  <si>
    <t>Preço</t>
  </si>
  <si>
    <t xml:space="preserve">Acum até o </t>
  </si>
  <si>
    <t>Medido</t>
  </si>
  <si>
    <t>Acum inclui</t>
  </si>
  <si>
    <t>Acumulado até o</t>
  </si>
  <si>
    <t>Medido no</t>
  </si>
  <si>
    <t>Acum inclui o</t>
  </si>
  <si>
    <t>EXECUTADO</t>
  </si>
  <si>
    <t>PERCENTUAL</t>
  </si>
  <si>
    <t>NO PERÍDODO</t>
  </si>
  <si>
    <t>ACUMULADO</t>
  </si>
  <si>
    <t>Unitário</t>
  </si>
  <si>
    <t>Total</t>
  </si>
  <si>
    <t>período anterior</t>
  </si>
  <si>
    <t>no período</t>
  </si>
  <si>
    <t>o período</t>
  </si>
  <si>
    <t>período  anterior</t>
  </si>
  <si>
    <t>período</t>
  </si>
  <si>
    <t>SUBTOTAIS</t>
  </si>
  <si>
    <t xml:space="preserve">                                                                                                       </t>
  </si>
  <si>
    <t>BDI (%)</t>
  </si>
  <si>
    <t>TOTAIS</t>
  </si>
  <si>
    <t>META</t>
  </si>
  <si>
    <t>CRONOGRAMA</t>
  </si>
  <si>
    <t>Observações</t>
  </si>
  <si>
    <t>Os serviços medidos informados neste BM encontram-se concluídos, estão em conformidade com os projetos e especificações aceitos pela CAIXA e foram executados de acordo com as normas técnicas.</t>
  </si>
  <si>
    <t xml:space="preserve">Responsável - </t>
  </si>
  <si>
    <t>Resp. Técnico pela Fiscalização da obra/serviços</t>
  </si>
  <si>
    <t>Nome:</t>
  </si>
  <si>
    <t>TOMÉ REIS ALVARENGA</t>
  </si>
  <si>
    <t>CLIFFORD PETERLE REZENDE</t>
  </si>
  <si>
    <t>Cargo:</t>
  </si>
  <si>
    <t>PREFEITO MUNICIPAL</t>
  </si>
  <si>
    <t>Profissão::</t>
  </si>
  <si>
    <t>ENGENHEIRO CIVIL</t>
  </si>
  <si>
    <t>Área:</t>
  </si>
  <si>
    <t>P. M. DE SÃO THOMÉ DA LETRAS-MG</t>
  </si>
  <si>
    <t>CREA Nº</t>
  </si>
  <si>
    <t>56.477/D</t>
  </si>
  <si>
    <t>Tomé Reis Alvarenga</t>
  </si>
  <si>
    <t>Prefeito Municipal de São Thomé das Letras-MG</t>
  </si>
  <si>
    <t>MEMÓRIA DE CÁLCULO = (665,28 - ((222,00*0,15^2*3,14)+(465,00*0,20^2*3,14)+(27,00*0,30^2*3,14)))</t>
  </si>
  <si>
    <t>CONTRATO RESCINDIDO</t>
  </si>
  <si>
    <t>NOVA LICITAÇÃO</t>
  </si>
  <si>
    <t>ACUMULADO 4ª</t>
  </si>
  <si>
    <t>TOTAL DO CONTRATO RESCINDIDO</t>
  </si>
  <si>
    <t>SALDO CONTRATUAL</t>
  </si>
  <si>
    <t>QUANTIDADE EXECUTADA</t>
  </si>
  <si>
    <t>VALOR EXECUTADO</t>
  </si>
  <si>
    <t>SALDO DO VALOR</t>
  </si>
  <si>
    <t>SALDO DA QUANTIDADE</t>
  </si>
  <si>
    <t>MEMÓRIA DE CÁLCULO = (222,00*0,70*1,20)+(454,00*0,80*1,20)+(27,00*1,00*1,20)</t>
  </si>
  <si>
    <t>VALOR NOVA LICITAÇÃO</t>
  </si>
  <si>
    <t>CONTRATO</t>
  </si>
  <si>
    <t>MEMÓRIA DE CÁLCULO = VER ANEXO PROJETO CIVIL - "AS BUILT" E REPROGRAMAÇÃO</t>
  </si>
  <si>
    <t>TOTAL GERAL DO CONTRATO DE REPASSE - ATUALIZADO</t>
  </si>
  <si>
    <t>2.13</t>
  </si>
  <si>
    <t>CONTRATO RESCINDIDO - ETAPA CONCLUÍDA</t>
  </si>
  <si>
    <t>PRAZO PARA CONCLUSÃO: 02 MESES (NOVA LICITAÇÃO)</t>
  </si>
  <si>
    <t>REPROGRAMAÇÃO E NOVA LICITAÇÃO - CONCLUSÃO DE OBRA</t>
  </si>
  <si>
    <t>TOTAL DA REPROGRAMAÇÃO E NOVA LICITAÇÃO - CONCLUSÃO DE OBRA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</si>
  <si>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</si>
  <si>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SARJETA DE CONCRETO USINADO, MOLDADA IN LOCO EM TRECHO RETO, 30 CM BASE X 10 CM ALTURA. AF_06/2016</t>
  </si>
  <si>
    <t>GRELHA FF 30X90CM, 135KG, P/ CX RALO COM ASSENTAMENTO DE ARGAMASSA CIMENTO/AREIA 1:4 - FORNECIMENTO E INSTALAÇÃO</t>
  </si>
  <si>
    <t>EXECUÇÃO E COMPACTAÇÃO DE ATERRO COM SOLO PREDOMINANTEMENTE ARGILOSO - EXCLUSIVE ESCAVAÇÃO, CARGA E TRANSPORTE E SOLO. AF_09/2017</t>
  </si>
  <si>
    <t>EXECUÇÃO DE PASSEIO (CALÇADA) OU PISO DE CONCRETO COM CONCRETO MOLDADO IN LOCO, FEITO EM OBRA, ACABAMENTO CONVENCIONAL, NÃO ARMADO. AF_07/2016, ESPESSURA 5CM, INCLUSIVE RAMPA PARA PORTADORES DE NECESSIDADES ESPECIAIS</t>
  </si>
  <si>
    <t>73743/001</t>
  </si>
  <si>
    <t>Pintura de faixa - tinta base acrílica - espessura de 0,4 mm - FAIXA DE PEDESTRES</t>
  </si>
  <si>
    <t xml:space="preserve">Pintura de faixa - tinta base acrílica - espessura de 0,4 mm - FAIXA DE RETENÇÃO </t>
  </si>
  <si>
    <t>Confecção e instalação de placa em aço nº 16 galvanizado, com película retrorrefletiva tipo I + III</t>
  </si>
  <si>
    <t>Fornecimento e implantação de suporte metálico galvanizado para placa de regulamentação - D = 0,60 m</t>
  </si>
  <si>
    <t>SICRO - 5213400_07-2018</t>
  </si>
  <si>
    <t>SICRO - 5213417_07-2018</t>
  </si>
  <si>
    <t>SICRO - 5213851_07-2018</t>
  </si>
  <si>
    <t>PISO PODOTÁTIL DE CONCRETO, ALERTA, APLICADO EM PISO (20X20CM) COM JUNTA SECA, COR VERMELHO/AMARELO, ASSENTAMENTO COM ARGAMASSA INDUSTRIALIZADA, INCLUSIVE FORNECIMENTO E INSTALAÇÃO</t>
  </si>
  <si>
    <t>COMPOSIÇÃO SETOP - PIS-LAD-035 - OUTUBRO-2018</t>
  </si>
  <si>
    <t>4.3 -</t>
  </si>
  <si>
    <t>ARGAMASSA COLANTE (TIPO: AC-III)</t>
  </si>
  <si>
    <t>PISO TÁTIL - PODOTÁTIL (MATERIAL: CONCRETO/COR: VERMELHO/TIPO : ALERTA/ COMPRIMENTO:20CM/LARGURA:20CM/ESPESSURA:3CM)</t>
  </si>
  <si>
    <t>KG</t>
  </si>
  <si>
    <t>PEDREIRO COM ENCARGOS COMPLEMENTARES</t>
  </si>
  <si>
    <t>SERVENTE COM ENCARGOS COMPLEMENTARES</t>
  </si>
  <si>
    <t>H</t>
  </si>
  <si>
    <t>CUSTO DIRETO</t>
  </si>
  <si>
    <t>PREÇO UNITÁRIO TOTAL</t>
  </si>
  <si>
    <t>ESPECIFICAÇÕES</t>
  </si>
  <si>
    <t>CONSUMO</t>
  </si>
  <si>
    <t>C. UNITÁRIO</t>
  </si>
  <si>
    <t>CUSTO TOTAL</t>
  </si>
  <si>
    <t>COMPOSIÇÃO ABERTA</t>
  </si>
  <si>
    <t>MEMÓRIA DE CÁLCULO = VER ANEXO PROJETO CIVIL = (30,00+169,00+21,00)</t>
  </si>
  <si>
    <t>ÁREA DE PAVIMENTAÇÃO</t>
  </si>
  <si>
    <t>ART Nº5.073.375</t>
  </si>
  <si>
    <t>DATA: 17/05/2019</t>
  </si>
  <si>
    <t>REFERÊNCIA: CONTRATO</t>
  </si>
  <si>
    <t>PRAZO PARA CONCLUSÃO: CONTRATO RESCINDIDO</t>
  </si>
  <si>
    <t>VALOR EXECUTADO:</t>
  </si>
  <si>
    <t>SALDO CONTRATUAL:</t>
  </si>
  <si>
    <t>V. NOVA LICITAÇÃO:</t>
  </si>
  <si>
    <t>V. CONT. ATUALIZ.:</t>
  </si>
  <si>
    <t>A N E X O   I  -  REPROGRAMAÇÃO</t>
  </si>
  <si>
    <t>PLANILHA ORÇAMENTÁRIA DE CUSTOS - "AS BUILT"</t>
  </si>
  <si>
    <t>A N E X O   I - REPROGRAMAÇÃO</t>
  </si>
  <si>
    <t>PLANILHA ORÇAMENTÁRIA DE CUSTOS - NOVA LICITAÇÃO</t>
  </si>
  <si>
    <t>OBS.: DAS OITO RPNE A SEREM CONSTRUÍDAS, TRÊS FORAM DESCONSIDERADAS NO LEVANTAMENTO, POIS JÁ FORAM CONTEMPLADAS NA EXTENSÃO DA ÁREA DE PASSEIO</t>
  </si>
  <si>
    <t>SICRO - 5213400_10-2018</t>
  </si>
  <si>
    <t>SICRO - 5213417_10-2018</t>
  </si>
  <si>
    <t>SICRO - 5213851_10-2018</t>
  </si>
  <si>
    <t>ED-50587 - PISO PODOTÁTIL DE CONCRETO, ALERTA, APLICADO EM PISO (20X20CM) COM JUNTA SECA, COR VERMELHO/AMARELO, ASSENTAMENTO COM ARGAMASSA INDUSTRIALIZADA, INCLUSIVE FORNECIMENTO E INSTALAÇÃO</t>
  </si>
  <si>
    <t>SETOP SUL  JANEIRO-2019 DESONERADO - DER: REF.: 50 - 351 - PIS-001 - PISOS (VER ANEXO)</t>
  </si>
  <si>
    <t>PRAZO PARA CONCLUSÃO: 02 (DOIS) MESES</t>
  </si>
  <si>
    <t>MEMÓRIA DE CÁLCULO = (((454,10+30,00+22,50)*1,08)+((47,30+41,30)*1,38)+((75,00+80,00)*1,87)+(5,10*1,08*5))</t>
  </si>
  <si>
    <t>MEMÓRIA DE CÁLCULO = 11*0,30 = 3,30</t>
  </si>
  <si>
    <t>OB.S: PINTURA DE SIMBOLOGIA DE PNE NO PATAMAR NIVELADO DAS RPNE</t>
  </si>
  <si>
    <t xml:space="preserve">   </t>
  </si>
  <si>
    <t>TOTAL NOVA LICITAÇÃO - CONCLUSÃO DE OBRA</t>
  </si>
  <si>
    <t>ENDEREÇO COMPLETO</t>
  </si>
  <si>
    <t>DATA: XXXXXXXXXXXX</t>
  </si>
  <si>
    <t>R. T. NOME RT DA EMPRESA LICITANTE - CREAMG NºXXXXXXXXXX</t>
  </si>
  <si>
    <r>
      <t xml:space="preserve">REFERÊNCIA: PROPOSTA LICITANTE NÃO DESONERADO - ENCARGOS SOCIAIS </t>
    </r>
    <r>
      <rPr>
        <b/>
        <u val="single"/>
        <sz val="10"/>
        <rFont val="Arial"/>
        <family val="2"/>
      </rPr>
      <t>NÃO DESONERADO</t>
    </r>
    <r>
      <rPr>
        <b/>
        <sz val="10"/>
        <rFont val="Arial"/>
        <family val="2"/>
      </rPr>
      <t>: 117,40% (HORA) E 74,93% (MÊS).</t>
    </r>
  </si>
  <si>
    <t>CREAMG NºXXXXXXXXXXX</t>
  </si>
  <si>
    <t>Assinatura do RT da licitante</t>
  </si>
  <si>
    <t>Assinatura do representante legal da licitante</t>
  </si>
  <si>
    <t>Nome xxxxxxxxxxxxxxx</t>
  </si>
  <si>
    <t>Nome XXXXXXXXXXXXXXXXX</t>
  </si>
  <si>
    <t>TIMBRADO LICITANTE</t>
  </si>
  <si>
    <t>VALOR DA PROPOSTA: R$5XXXXXXXXXXXXX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</si>
</sst>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(* #,##0.000_);_(* \(#,##0.000\);_(* &quot;-&quot;??_);_(@_)"/>
    <numFmt numFmtId="184" formatCode="&quot;R$&quot;#,##0.00"/>
    <numFmt numFmtId="185" formatCode="[$-416]dddd\,\ d&quot; de &quot;mmmm&quot; de &quot;yyyy"/>
    <numFmt numFmtId="186" formatCode="&quot;R$&quot;\ #,##0.00"/>
    <numFmt numFmtId="187" formatCode="_(* #,##0.0_);_(* \(#,##0.0\);_(* &quot;-&quot;??_);_(@_)"/>
    <numFmt numFmtId="188" formatCode="_(* #,##0_);_(* \(#,##0\);_(* &quot;-&quot;??_);_(@_)"/>
    <numFmt numFmtId="189" formatCode="_([$R$ -416]* #,##0.00_);_([$R$ -416]* \(#,##0.00\);_([$R$ -416]* &quot;-&quot;??_);_(@_)"/>
    <numFmt numFmtId="190" formatCode="0.0%"/>
    <numFmt numFmtId="191" formatCode="_(* #,##0.0000_);_(* \(#,##0.0000\);_(* &quot;-&quot;??_);_(@_)"/>
    <numFmt numFmtId="192" formatCode="00"/>
    <numFmt numFmtId="193" formatCode="&quot;R$ &quot;\ \ #,##0.00"/>
    <numFmt numFmtId="194" formatCode="0.0000"/>
    <numFmt numFmtId="195" formatCode="0.000"/>
    <numFmt numFmtId="196" formatCode="0.0"/>
  </numFmts>
  <fonts count="7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9"/>
      <color indexed="60"/>
      <name val="Arial"/>
      <family val="2"/>
    </font>
    <font>
      <sz val="4"/>
      <color indexed="8"/>
      <name val="Arial"/>
      <family val="2"/>
    </font>
    <font>
      <b/>
      <sz val="9"/>
      <color indexed="6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u val="single"/>
      <sz val="8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99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top" wrapText="1"/>
    </xf>
    <xf numFmtId="10" fontId="11" fillId="33" borderId="18" xfId="0" applyNumberFormat="1" applyFont="1" applyFill="1" applyBorder="1" applyAlignment="1">
      <alignment vertical="top" wrapText="1"/>
    </xf>
    <xf numFmtId="10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 vertical="top" wrapText="1"/>
    </xf>
    <xf numFmtId="4" fontId="11" fillId="33" borderId="19" xfId="0" applyNumberFormat="1" applyFont="1" applyFill="1" applyBorder="1" applyAlignment="1">
      <alignment vertical="top" wrapText="1"/>
    </xf>
    <xf numFmtId="182" fontId="7" fillId="33" borderId="19" xfId="0" applyNumberFormat="1" applyFont="1" applyFill="1" applyBorder="1" applyAlignment="1">
      <alignment vertical="top" wrapText="1"/>
    </xf>
    <xf numFmtId="182" fontId="0" fillId="33" borderId="0" xfId="0" applyNumberFormat="1" applyFill="1" applyAlignment="1">
      <alignment/>
    </xf>
    <xf numFmtId="49" fontId="12" fillId="33" borderId="20" xfId="0" applyNumberFormat="1" applyFont="1" applyFill="1" applyBorder="1" applyAlignment="1">
      <alignment horizontal="center" vertical="top" wrapText="1"/>
    </xf>
    <xf numFmtId="10" fontId="11" fillId="33" borderId="20" xfId="0" applyNumberFormat="1" applyFont="1" applyFill="1" applyBorder="1" applyAlignment="1">
      <alignment vertical="top" wrapText="1"/>
    </xf>
    <xf numFmtId="49" fontId="12" fillId="33" borderId="21" xfId="0" applyNumberFormat="1" applyFont="1" applyFill="1" applyBorder="1" applyAlignment="1">
      <alignment horizontal="center" vertical="top" wrapText="1"/>
    </xf>
    <xf numFmtId="182" fontId="11" fillId="33" borderId="21" xfId="0" applyNumberFormat="1" applyFont="1" applyFill="1" applyBorder="1" applyAlignment="1">
      <alignment vertical="top" wrapText="1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9" fillId="33" borderId="22" xfId="0" applyFont="1" applyFill="1" applyBorder="1" applyAlignment="1">
      <alignment wrapText="1"/>
    </xf>
    <xf numFmtId="0" fontId="9" fillId="33" borderId="23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9" fillId="33" borderId="2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13" fillId="33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9" fillId="0" borderId="0" xfId="0" applyFont="1" applyAlignment="1">
      <alignment/>
    </xf>
    <xf numFmtId="43" fontId="1" fillId="0" borderId="0" xfId="55" applyFont="1" applyAlignment="1">
      <alignment/>
    </xf>
    <xf numFmtId="0" fontId="1" fillId="0" borderId="0" xfId="0" applyFont="1" applyAlignment="1">
      <alignment/>
    </xf>
    <xf numFmtId="43" fontId="0" fillId="0" borderId="0" xfId="55" applyFont="1" applyAlignment="1">
      <alignment/>
    </xf>
    <xf numFmtId="0" fontId="0" fillId="33" borderId="13" xfId="0" applyFill="1" applyBorder="1" applyAlignment="1">
      <alignment/>
    </xf>
    <xf numFmtId="10" fontId="11" fillId="33" borderId="31" xfId="0" applyNumberFormat="1" applyFont="1" applyFill="1" applyBorder="1" applyAlignment="1">
      <alignment vertical="top" wrapText="1"/>
    </xf>
    <xf numFmtId="182" fontId="7" fillId="33" borderId="32" xfId="0" applyNumberFormat="1" applyFont="1" applyFill="1" applyBorder="1" applyAlignment="1">
      <alignment vertical="top" wrapText="1"/>
    </xf>
    <xf numFmtId="10" fontId="11" fillId="33" borderId="33" xfId="0" applyNumberFormat="1" applyFont="1" applyFill="1" applyBorder="1" applyAlignment="1">
      <alignment vertical="top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10" fontId="9" fillId="0" borderId="38" xfId="52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3" fontId="4" fillId="0" borderId="0" xfId="55" applyFont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43" fontId="6" fillId="0" borderId="23" xfId="55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3" fontId="6" fillId="0" borderId="11" xfId="55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43" fontId="4" fillId="0" borderId="0" xfId="55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3" fontId="1" fillId="0" borderId="0" xfId="55" applyFont="1" applyBorder="1" applyAlignment="1">
      <alignment horizontal="left" vertical="center" wrapText="1"/>
    </xf>
    <xf numFmtId="0" fontId="73" fillId="0" borderId="0" xfId="0" applyFont="1" applyAlignment="1">
      <alignment/>
    </xf>
    <xf numFmtId="43" fontId="73" fillId="0" borderId="0" xfId="55" applyFont="1" applyAlignment="1">
      <alignment/>
    </xf>
    <xf numFmtId="43" fontId="4" fillId="0" borderId="0" xfId="55" applyNumberFormat="1" applyFont="1" applyAlignment="1">
      <alignment/>
    </xf>
    <xf numFmtId="43" fontId="1" fillId="0" borderId="0" xfId="55" applyNumberFormat="1" applyFont="1" applyAlignment="1">
      <alignment/>
    </xf>
    <xf numFmtId="43" fontId="9" fillId="0" borderId="0" xfId="55" applyNumberFormat="1" applyFont="1" applyAlignment="1">
      <alignment/>
    </xf>
    <xf numFmtId="43" fontId="1" fillId="0" borderId="0" xfId="55" applyNumberFormat="1" applyFont="1" applyBorder="1" applyAlignment="1">
      <alignment horizontal="left" vertical="center" wrapText="1"/>
    </xf>
    <xf numFmtId="43" fontId="4" fillId="0" borderId="0" xfId="55" applyNumberFormat="1" applyFont="1" applyBorder="1" applyAlignment="1">
      <alignment/>
    </xf>
    <xf numFmtId="0" fontId="4" fillId="0" borderId="4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74" fillId="0" borderId="0" xfId="0" applyFont="1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9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89" fontId="9" fillId="0" borderId="41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2" fontId="1" fillId="0" borderId="41" xfId="55" applyNumberFormat="1" applyFont="1" applyFill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189" fontId="1" fillId="0" borderId="41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/>
    </xf>
    <xf numFmtId="189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89" fontId="0" fillId="0" borderId="41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2" fontId="0" fillId="0" borderId="41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189" fontId="1" fillId="0" borderId="35" xfId="0" applyNumberFormat="1" applyFont="1" applyBorder="1" applyAlignment="1">
      <alignment vertical="center" wrapText="1"/>
    </xf>
    <xf numFmtId="0" fontId="8" fillId="0" borderId="41" xfId="0" applyFont="1" applyBorder="1" applyAlignment="1">
      <alignment horizontal="justify"/>
    </xf>
    <xf numFmtId="0" fontId="1" fillId="0" borderId="41" xfId="0" applyFont="1" applyBorder="1" applyAlignment="1">
      <alignment horizontal="justify"/>
    </xf>
    <xf numFmtId="0" fontId="8" fillId="0" borderId="0" xfId="0" applyFont="1" applyBorder="1" applyAlignment="1">
      <alignment horizontal="center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189" fontId="9" fillId="0" borderId="4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189" fontId="0" fillId="0" borderId="0" xfId="0" applyNumberFormat="1" applyBorder="1" applyAlignment="1">
      <alignment vertical="center"/>
    </xf>
    <xf numFmtId="0" fontId="9" fillId="0" borderId="43" xfId="0" applyFont="1" applyFill="1" applyBorder="1" applyAlignment="1">
      <alignment horizontal="center" vertical="justify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75" fillId="0" borderId="45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189" fontId="76" fillId="0" borderId="41" xfId="0" applyNumberFormat="1" applyFont="1" applyFill="1" applyBorder="1" applyAlignment="1">
      <alignment horizontal="center" vertical="center" wrapText="1"/>
    </xf>
    <xf numFmtId="189" fontId="77" fillId="0" borderId="41" xfId="0" applyNumberFormat="1" applyFont="1" applyBorder="1" applyAlignment="1">
      <alignment horizontal="center" vertical="center" wrapText="1"/>
    </xf>
    <xf numFmtId="189" fontId="77" fillId="0" borderId="35" xfId="0" applyNumberFormat="1" applyFont="1" applyBorder="1" applyAlignment="1">
      <alignment vertical="center" wrapText="1"/>
    </xf>
    <xf numFmtId="189" fontId="78" fillId="0" borderId="0" xfId="0" applyNumberFormat="1" applyFont="1" applyBorder="1" applyAlignment="1">
      <alignment horizontal="center" vertical="center" wrapText="1"/>
    </xf>
    <xf numFmtId="189" fontId="74" fillId="0" borderId="0" xfId="0" applyNumberFormat="1" applyFont="1" applyBorder="1" applyAlignment="1">
      <alignment vertical="center"/>
    </xf>
    <xf numFmtId="189" fontId="74" fillId="0" borderId="0" xfId="0" applyNumberFormat="1" applyFont="1" applyAlignment="1">
      <alignment/>
    </xf>
    <xf numFmtId="0" fontId="76" fillId="0" borderId="41" xfId="0" applyFont="1" applyFill="1" applyBorder="1" applyAlignment="1">
      <alignment horizontal="center" vertical="center"/>
    </xf>
    <xf numFmtId="4" fontId="77" fillId="0" borderId="41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189" fontId="74" fillId="0" borderId="0" xfId="0" applyNumberFormat="1" applyFont="1" applyFill="1" applyBorder="1" applyAlignment="1">
      <alignment horizontal="center"/>
    </xf>
    <xf numFmtId="189" fontId="77" fillId="0" borderId="41" xfId="0" applyNumberFormat="1" applyFont="1" applyFill="1" applyBorder="1" applyAlignment="1">
      <alignment horizontal="center" vertical="center" wrapText="1"/>
    </xf>
    <xf numFmtId="189" fontId="76" fillId="0" borderId="41" xfId="0" applyNumberFormat="1" applyFont="1" applyBorder="1" applyAlignment="1">
      <alignment horizontal="center" vertical="center" wrapText="1"/>
    </xf>
    <xf numFmtId="10" fontId="11" fillId="33" borderId="18" xfId="52" applyNumberFormat="1" applyFont="1" applyFill="1" applyBorder="1" applyAlignment="1">
      <alignment vertical="top" wrapText="1"/>
    </xf>
    <xf numFmtId="43" fontId="11" fillId="33" borderId="18" xfId="55" applyFont="1" applyFill="1" applyBorder="1" applyAlignment="1">
      <alignment vertical="top" wrapText="1"/>
    </xf>
    <xf numFmtId="43" fontId="8" fillId="0" borderId="0" xfId="55" applyFont="1" applyAlignment="1">
      <alignment horizontal="center"/>
    </xf>
    <xf numFmtId="43" fontId="8" fillId="0" borderId="0" xfId="55" applyNumberFormat="1" applyFont="1" applyAlignment="1">
      <alignment horizontal="center"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0" fillId="33" borderId="0" xfId="55" applyFont="1" applyFill="1" applyAlignment="1">
      <alignment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75" fillId="0" borderId="45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2" fontId="8" fillId="0" borderId="51" xfId="55" applyNumberFormat="1" applyFont="1" applyFill="1" applyBorder="1" applyAlignment="1">
      <alignment horizontal="center" vertical="center" wrapText="1"/>
    </xf>
    <xf numFmtId="2" fontId="1" fillId="0" borderId="47" xfId="55" applyNumberFormat="1" applyFont="1" applyFill="1" applyBorder="1" applyAlignment="1">
      <alignment horizontal="center" vertical="center" wrapText="1"/>
    </xf>
    <xf numFmtId="2" fontId="8" fillId="0" borderId="47" xfId="55" applyNumberFormat="1" applyFont="1" applyFill="1" applyBorder="1" applyAlignment="1">
      <alignment horizontal="center" vertical="center" wrapText="1"/>
    </xf>
    <xf numFmtId="2" fontId="75" fillId="0" borderId="47" xfId="55" applyNumberFormat="1" applyFont="1" applyFill="1" applyBorder="1" applyAlignment="1">
      <alignment horizontal="center" vertical="center" wrapText="1"/>
    </xf>
    <xf numFmtId="2" fontId="1" fillId="0" borderId="52" xfId="55" applyNumberFormat="1" applyFont="1" applyFill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 wrapText="1"/>
    </xf>
    <xf numFmtId="43" fontId="8" fillId="0" borderId="51" xfId="55" applyFont="1" applyBorder="1" applyAlignment="1">
      <alignment horizontal="center" vertical="center" wrapText="1"/>
    </xf>
    <xf numFmtId="43" fontId="1" fillId="0" borderId="52" xfId="55" applyFont="1" applyBorder="1" applyAlignment="1">
      <alignment horizontal="center" vertical="center" wrapText="1"/>
    </xf>
    <xf numFmtId="43" fontId="1" fillId="0" borderId="53" xfId="55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3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0" xfId="0" applyFont="1" applyBorder="1" applyAlignment="1">
      <alignment/>
    </xf>
    <xf numFmtId="4" fontId="4" fillId="0" borderId="14" xfId="0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3" fontId="1" fillId="0" borderId="0" xfId="55" applyFont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3" xfId="0" applyFont="1" applyBorder="1" applyAlignment="1">
      <alignment horizontal="center"/>
    </xf>
    <xf numFmtId="43" fontId="47" fillId="0" borderId="26" xfId="55" applyFont="1" applyBorder="1" applyAlignment="1">
      <alignment/>
    </xf>
    <xf numFmtId="0" fontId="47" fillId="0" borderId="0" xfId="0" applyFont="1" applyBorder="1" applyAlignment="1">
      <alignment/>
    </xf>
    <xf numFmtId="43" fontId="48" fillId="0" borderId="0" xfId="55" applyFont="1" applyBorder="1" applyAlignment="1">
      <alignment/>
    </xf>
    <xf numFmtId="43" fontId="49" fillId="0" borderId="13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3" fontId="49" fillId="0" borderId="14" xfId="55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3" fontId="47" fillId="0" borderId="14" xfId="55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43" fontId="47" fillId="0" borderId="12" xfId="55" applyFont="1" applyBorder="1" applyAlignment="1">
      <alignment/>
    </xf>
    <xf numFmtId="0" fontId="47" fillId="0" borderId="0" xfId="0" applyFont="1" applyFill="1" applyBorder="1" applyAlignment="1">
      <alignment/>
    </xf>
    <xf numFmtId="43" fontId="47" fillId="0" borderId="0" xfId="55" applyFont="1" applyBorder="1" applyAlignment="1">
      <alignment/>
    </xf>
    <xf numFmtId="0" fontId="50" fillId="0" borderId="56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justify"/>
    </xf>
    <xf numFmtId="0" fontId="50" fillId="0" borderId="57" xfId="0" applyFont="1" applyBorder="1" applyAlignment="1">
      <alignment horizontal="center" vertical="center"/>
    </xf>
    <xf numFmtId="43" fontId="50" fillId="0" borderId="58" xfId="55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43" fontId="50" fillId="0" borderId="0" xfId="55" applyFont="1" applyBorder="1" applyAlignment="1">
      <alignment/>
    </xf>
    <xf numFmtId="0" fontId="50" fillId="0" borderId="59" xfId="0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43" fontId="48" fillId="0" borderId="16" xfId="55" applyFont="1" applyBorder="1" applyAlignment="1">
      <alignment horizontal="center" vertical="center"/>
    </xf>
    <xf numFmtId="43" fontId="48" fillId="0" borderId="60" xfId="55" applyFont="1" applyBorder="1" applyAlignment="1">
      <alignment horizontal="center" vertical="center"/>
    </xf>
    <xf numFmtId="43" fontId="48" fillId="0" borderId="61" xfId="55" applyFont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43" fontId="48" fillId="0" borderId="41" xfId="55" applyFont="1" applyBorder="1" applyAlignment="1">
      <alignment horizontal="center" vertical="center"/>
    </xf>
    <xf numFmtId="43" fontId="48" fillId="0" borderId="35" xfId="55" applyFont="1" applyBorder="1" applyAlignment="1">
      <alignment horizontal="center" vertical="center"/>
    </xf>
    <xf numFmtId="43" fontId="48" fillId="0" borderId="36" xfId="55" applyFont="1" applyBorder="1" applyAlignment="1">
      <alignment horizontal="center" vertical="center"/>
    </xf>
    <xf numFmtId="0" fontId="50" fillId="34" borderId="63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43" fontId="50" fillId="34" borderId="41" xfId="55" applyFont="1" applyFill="1" applyBorder="1" applyAlignment="1">
      <alignment horizontal="center" vertical="center"/>
    </xf>
    <xf numFmtId="43" fontId="50" fillId="34" borderId="35" xfId="55" applyFont="1" applyFill="1" applyBorder="1" applyAlignment="1">
      <alignment horizontal="center" vertical="center"/>
    </xf>
    <xf numFmtId="43" fontId="50" fillId="34" borderId="36" xfId="55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/>
    </xf>
    <xf numFmtId="43" fontId="50" fillId="34" borderId="0" xfId="55" applyFont="1" applyFill="1" applyBorder="1" applyAlignment="1">
      <alignment/>
    </xf>
    <xf numFmtId="0" fontId="48" fillId="34" borderId="63" xfId="0" applyFont="1" applyFill="1" applyBorder="1" applyAlignment="1">
      <alignment horizontal="center" vertical="center"/>
    </xf>
    <xf numFmtId="2" fontId="48" fillId="0" borderId="35" xfId="0" applyNumberFormat="1" applyFont="1" applyBorder="1" applyAlignment="1">
      <alignment horizontal="center" vertical="center"/>
    </xf>
    <xf numFmtId="43" fontId="50" fillId="0" borderId="41" xfId="55" applyFont="1" applyBorder="1" applyAlignment="1">
      <alignment horizontal="center" vertical="center"/>
    </xf>
    <xf numFmtId="43" fontId="50" fillId="0" borderId="35" xfId="55" applyFont="1" applyBorder="1" applyAlignment="1">
      <alignment horizontal="center" vertical="center"/>
    </xf>
    <xf numFmtId="43" fontId="50" fillId="0" borderId="36" xfId="55" applyFont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43" fontId="48" fillId="0" borderId="64" xfId="55" applyFont="1" applyBorder="1" applyAlignment="1">
      <alignment horizontal="center" vertical="center"/>
    </xf>
    <xf numFmtId="43" fontId="48" fillId="0" borderId="0" xfId="55" applyFont="1" applyBorder="1" applyAlignment="1">
      <alignment horizontal="center" vertical="center"/>
    </xf>
    <xf numFmtId="43" fontId="48" fillId="0" borderId="14" xfId="55" applyFont="1" applyBorder="1" applyAlignment="1">
      <alignment horizontal="center" vertical="center"/>
    </xf>
    <xf numFmtId="43" fontId="48" fillId="0" borderId="41" xfId="55" applyFont="1" applyBorder="1" applyAlignment="1">
      <alignment vertical="center"/>
    </xf>
    <xf numFmtId="43" fontId="48" fillId="0" borderId="0" xfId="55" applyFont="1" applyBorder="1" applyAlignment="1">
      <alignment vertical="justify"/>
    </xf>
    <xf numFmtId="43" fontId="48" fillId="0" borderId="0" xfId="55" applyFont="1" applyBorder="1" applyAlignment="1">
      <alignment vertical="center"/>
    </xf>
    <xf numFmtId="2" fontId="50" fillId="0" borderId="35" xfId="0" applyNumberFormat="1" applyFont="1" applyBorder="1" applyAlignment="1">
      <alignment horizontal="center" vertical="center"/>
    </xf>
    <xf numFmtId="43" fontId="50" fillId="0" borderId="0" xfId="55" applyFont="1" applyBorder="1" applyAlignment="1">
      <alignment vertical="center"/>
    </xf>
    <xf numFmtId="0" fontId="48" fillId="0" borderId="63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43" fontId="47" fillId="0" borderId="38" xfId="55" applyFont="1" applyBorder="1" applyAlignment="1">
      <alignment horizontal="center" vertical="center"/>
    </xf>
    <xf numFmtId="43" fontId="48" fillId="0" borderId="0" xfId="55" applyFont="1" applyBorder="1" applyAlignment="1">
      <alignment horizontal="left" vertical="center" wrapText="1"/>
    </xf>
    <xf numFmtId="43" fontId="48" fillId="0" borderId="67" xfId="55" applyFont="1" applyBorder="1" applyAlignment="1">
      <alignment horizontal="center" vertical="center"/>
    </xf>
    <xf numFmtId="43" fontId="48" fillId="0" borderId="40" xfId="55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justify"/>
    </xf>
    <xf numFmtId="43" fontId="8" fillId="0" borderId="0" xfId="55" applyFont="1" applyAlignment="1">
      <alignment horizontal="right" vertical="center"/>
    </xf>
    <xf numFmtId="43" fontId="8" fillId="0" borderId="0" xfId="55" applyFont="1" applyAlignment="1">
      <alignment vertical="center"/>
    </xf>
    <xf numFmtId="43" fontId="48" fillId="0" borderId="0" xfId="55" applyFont="1" applyBorder="1" applyAlignment="1" quotePrefix="1">
      <alignment horizontal="center" vertical="center"/>
    </xf>
    <xf numFmtId="2" fontId="48" fillId="0" borderId="68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justify"/>
    </xf>
    <xf numFmtId="0" fontId="50" fillId="0" borderId="69" xfId="0" applyFont="1" applyBorder="1" applyAlignment="1">
      <alignment horizontal="center" vertical="justify"/>
    </xf>
    <xf numFmtId="0" fontId="50" fillId="0" borderId="41" xfId="0" applyFont="1" applyBorder="1" applyAlignment="1">
      <alignment horizontal="center" vertical="justify"/>
    </xf>
    <xf numFmtId="0" fontId="50" fillId="34" borderId="41" xfId="0" applyFont="1" applyFill="1" applyBorder="1" applyAlignment="1">
      <alignment horizontal="left" vertical="justify"/>
    </xf>
    <xf numFmtId="0" fontId="48" fillId="0" borderId="41" xfId="0" applyFont="1" applyBorder="1" applyAlignment="1">
      <alignment horizontal="left" vertical="justify"/>
    </xf>
    <xf numFmtId="0" fontId="50" fillId="0" borderId="41" xfId="0" applyFont="1" applyBorder="1" applyAlignment="1">
      <alignment vertical="justify"/>
    </xf>
    <xf numFmtId="0" fontId="48" fillId="0" borderId="41" xfId="0" applyFont="1" applyBorder="1" applyAlignment="1">
      <alignment vertical="justify"/>
    </xf>
    <xf numFmtId="0" fontId="48" fillId="0" borderId="64" xfId="0" applyFont="1" applyBorder="1" applyAlignment="1">
      <alignment vertical="justify"/>
    </xf>
    <xf numFmtId="0" fontId="48" fillId="0" borderId="69" xfId="0" applyFont="1" applyBorder="1" applyAlignment="1">
      <alignment vertical="justify"/>
    </xf>
    <xf numFmtId="0" fontId="48" fillId="0" borderId="64" xfId="0" applyFont="1" applyBorder="1" applyAlignment="1">
      <alignment horizontal="left" vertical="justify" wrapText="1"/>
    </xf>
    <xf numFmtId="0" fontId="50" fillId="0" borderId="41" xfId="0" applyFont="1" applyBorder="1" applyAlignment="1">
      <alignment horizontal="left" vertical="justify" wrapText="1"/>
    </xf>
    <xf numFmtId="0" fontId="48" fillId="0" borderId="69" xfId="0" applyFont="1" applyBorder="1" applyAlignment="1">
      <alignment horizontal="left" vertical="justify" wrapText="1"/>
    </xf>
    <xf numFmtId="0" fontId="48" fillId="0" borderId="41" xfId="0" applyFont="1" applyBorder="1" applyAlignment="1">
      <alignment horizontal="left" vertical="justify" wrapText="1"/>
    </xf>
    <xf numFmtId="0" fontId="48" fillId="0" borderId="70" xfId="0" applyFont="1" applyBorder="1" applyAlignment="1">
      <alignment vertical="justify"/>
    </xf>
    <xf numFmtId="0" fontId="52" fillId="0" borderId="41" xfId="0" applyFont="1" applyBorder="1" applyAlignment="1">
      <alignment horizontal="center" vertical="justify"/>
    </xf>
    <xf numFmtId="0" fontId="48" fillId="34" borderId="41" xfId="0" applyFont="1" applyFill="1" applyBorder="1" applyAlignment="1">
      <alignment horizontal="left" vertical="justify"/>
    </xf>
    <xf numFmtId="0" fontId="48" fillId="34" borderId="69" xfId="0" applyFont="1" applyFill="1" applyBorder="1" applyAlignment="1">
      <alignment horizontal="left" vertical="justify"/>
    </xf>
    <xf numFmtId="0" fontId="48" fillId="0" borderId="41" xfId="0" applyFont="1" applyBorder="1" applyAlignment="1">
      <alignment/>
    </xf>
    <xf numFmtId="0" fontId="48" fillId="0" borderId="66" xfId="0" applyFont="1" applyBorder="1" applyAlignment="1">
      <alignment/>
    </xf>
    <xf numFmtId="43" fontId="48" fillId="0" borderId="71" xfId="55" applyFont="1" applyBorder="1" applyAlignment="1">
      <alignment horizontal="center" vertical="center"/>
    </xf>
    <xf numFmtId="43" fontId="48" fillId="0" borderId="42" xfId="55" applyFont="1" applyBorder="1" applyAlignment="1">
      <alignment horizontal="center" vertical="center"/>
    </xf>
    <xf numFmtId="43" fontId="50" fillId="34" borderId="42" xfId="55" applyFont="1" applyFill="1" applyBorder="1" applyAlignment="1">
      <alignment horizontal="center" vertical="center"/>
    </xf>
    <xf numFmtId="43" fontId="50" fillId="0" borderId="42" xfId="55" applyFont="1" applyBorder="1" applyAlignment="1">
      <alignment horizontal="center" vertical="center"/>
    </xf>
    <xf numFmtId="43" fontId="48" fillId="0" borderId="27" xfId="55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191" fontId="48" fillId="0" borderId="69" xfId="55" applyNumberFormat="1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 wrapText="1"/>
    </xf>
    <xf numFmtId="43" fontId="48" fillId="0" borderId="74" xfId="55" applyFont="1" applyBorder="1" applyAlignment="1">
      <alignment horizontal="center" vertical="center"/>
    </xf>
    <xf numFmtId="0" fontId="48" fillId="0" borderId="70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6" fillId="0" borderId="14" xfId="55" applyFont="1" applyBorder="1" applyAlignment="1">
      <alignment horizontal="center" vertical="center" wrapText="1"/>
    </xf>
    <xf numFmtId="43" fontId="5" fillId="0" borderId="0" xfId="55" applyFont="1" applyAlignment="1">
      <alignment/>
    </xf>
    <xf numFmtId="43" fontId="0" fillId="33" borderId="0" xfId="55" applyFont="1" applyFill="1" applyAlignment="1">
      <alignment wrapText="1"/>
    </xf>
    <xf numFmtId="43" fontId="0" fillId="33" borderId="0" xfId="0" applyNumberFormat="1" applyFill="1" applyAlignment="1">
      <alignment/>
    </xf>
    <xf numFmtId="0" fontId="9" fillId="0" borderId="6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2" fontId="8" fillId="0" borderId="51" xfId="57" applyNumberFormat="1" applyFont="1" applyFill="1" applyBorder="1" applyAlignment="1">
      <alignment horizontal="center" vertical="center" wrapText="1"/>
    </xf>
    <xf numFmtId="43" fontId="8" fillId="0" borderId="50" xfId="57" applyFont="1" applyBorder="1" applyAlignment="1">
      <alignment horizontal="center" vertical="center" wrapText="1"/>
    </xf>
    <xf numFmtId="43" fontId="8" fillId="0" borderId="51" xfId="57" applyFont="1" applyBorder="1" applyAlignment="1">
      <alignment horizontal="center" vertical="center" wrapText="1"/>
    </xf>
    <xf numFmtId="2" fontId="1" fillId="0" borderId="47" xfId="57" applyNumberFormat="1" applyFont="1" applyFill="1" applyBorder="1" applyAlignment="1">
      <alignment horizontal="center" vertical="center" wrapText="1"/>
    </xf>
    <xf numFmtId="43" fontId="1" fillId="0" borderId="45" xfId="57" applyFont="1" applyBorder="1" applyAlignment="1">
      <alignment vertical="center" wrapText="1"/>
    </xf>
    <xf numFmtId="43" fontId="1" fillId="0" borderId="47" xfId="57" applyFont="1" applyBorder="1" applyAlignment="1">
      <alignment horizontal="center" vertical="center" wrapText="1"/>
    </xf>
    <xf numFmtId="43" fontId="1" fillId="0" borderId="45" xfId="57" applyFont="1" applyBorder="1" applyAlignment="1">
      <alignment horizontal="center" vertical="center" wrapText="1"/>
    </xf>
    <xf numFmtId="2" fontId="8" fillId="0" borderId="47" xfId="57" applyNumberFormat="1" applyFont="1" applyFill="1" applyBorder="1" applyAlignment="1">
      <alignment horizontal="center" vertical="center" wrapText="1"/>
    </xf>
    <xf numFmtId="43" fontId="8" fillId="0" borderId="45" xfId="57" applyFont="1" applyBorder="1" applyAlignment="1">
      <alignment horizontal="center" vertical="center" wrapText="1"/>
    </xf>
    <xf numFmtId="43" fontId="1" fillId="0" borderId="53" xfId="57" applyFont="1" applyBorder="1" applyAlignment="1">
      <alignment horizontal="center" vertical="center" wrapText="1"/>
    </xf>
    <xf numFmtId="2" fontId="75" fillId="0" borderId="47" xfId="57" applyNumberFormat="1" applyFont="1" applyFill="1" applyBorder="1" applyAlignment="1">
      <alignment horizontal="center" vertical="center" wrapText="1"/>
    </xf>
    <xf numFmtId="43" fontId="75" fillId="0" borderId="45" xfId="57" applyFont="1" applyBorder="1" applyAlignment="1">
      <alignment horizontal="center" vertical="center" wrapText="1"/>
    </xf>
    <xf numFmtId="2" fontId="1" fillId="0" borderId="52" xfId="57" applyNumberFormat="1" applyFont="1" applyFill="1" applyBorder="1" applyAlignment="1">
      <alignment horizontal="center" vertical="center" wrapText="1"/>
    </xf>
    <xf numFmtId="43" fontId="1" fillId="0" borderId="75" xfId="57" applyFont="1" applyBorder="1" applyAlignment="1">
      <alignment horizontal="center" vertical="center" wrapText="1"/>
    </xf>
    <xf numFmtId="43" fontId="1" fillId="0" borderId="52" xfId="57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/>
    </xf>
    <xf numFmtId="10" fontId="9" fillId="0" borderId="38" xfId="53" applyNumberFormat="1" applyFont="1" applyFill="1" applyBorder="1" applyAlignment="1">
      <alignment horizontal="center" vertical="center"/>
    </xf>
    <xf numFmtId="43" fontId="8" fillId="0" borderId="47" xfId="57" applyFont="1" applyBorder="1" applyAlignment="1">
      <alignment horizontal="center" vertical="center" wrapText="1"/>
    </xf>
    <xf numFmtId="43" fontId="1" fillId="0" borderId="47" xfId="57" applyFont="1" applyBorder="1" applyAlignment="1" quotePrefix="1">
      <alignment horizontal="center" vertical="center" wrapText="1"/>
    </xf>
    <xf numFmtId="43" fontId="1" fillId="34" borderId="47" xfId="57" applyFont="1" applyFill="1" applyBorder="1" applyAlignment="1">
      <alignment horizontal="center" vertical="center" wrapText="1"/>
    </xf>
    <xf numFmtId="43" fontId="1" fillId="0" borderId="48" xfId="57" applyFont="1" applyBorder="1" applyAlignment="1">
      <alignment horizontal="center" vertical="center" wrapText="1"/>
    </xf>
    <xf numFmtId="43" fontId="6" fillId="0" borderId="76" xfId="57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10" fillId="34" borderId="0" xfId="0" applyFont="1" applyFill="1" applyAlignment="1">
      <alignment horizontal="center"/>
    </xf>
    <xf numFmtId="0" fontId="9" fillId="34" borderId="0" xfId="50" applyFont="1" applyFill="1" applyBorder="1" applyAlignment="1">
      <alignment horizontal="center"/>
      <protection/>
    </xf>
    <xf numFmtId="0" fontId="0" fillId="34" borderId="0" xfId="50" applyFont="1" applyFill="1" applyBorder="1">
      <alignment/>
      <protection/>
    </xf>
    <xf numFmtId="0" fontId="9" fillId="0" borderId="6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3" fontId="1" fillId="0" borderId="47" xfId="55" applyFont="1" applyBorder="1" applyAlignment="1">
      <alignment vertical="center" wrapText="1"/>
    </xf>
    <xf numFmtId="0" fontId="9" fillId="0" borderId="46" xfId="0" applyFont="1" applyFill="1" applyBorder="1" applyAlignment="1">
      <alignment horizontal="center" vertical="justify"/>
    </xf>
    <xf numFmtId="0" fontId="9" fillId="0" borderId="76" xfId="0" applyFont="1" applyFill="1" applyBorder="1" applyAlignment="1">
      <alignment horizontal="center" vertical="center" wrapText="1"/>
    </xf>
    <xf numFmtId="4" fontId="8" fillId="0" borderId="77" xfId="0" applyNumberFormat="1" applyFont="1" applyBorder="1" applyAlignment="1">
      <alignment horizontal="center" vertical="center" wrapText="1"/>
    </xf>
    <xf numFmtId="43" fontId="8" fillId="0" borderId="78" xfId="55" applyFont="1" applyBorder="1" applyAlignment="1">
      <alignment horizontal="center" vertical="center" wrapText="1"/>
    </xf>
    <xf numFmtId="43" fontId="1" fillId="0" borderId="79" xfId="55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" fontId="8" fillId="0" borderId="80" xfId="0" applyNumberFormat="1" applyFont="1" applyBorder="1" applyAlignment="1">
      <alignment horizontal="center" vertical="center" wrapText="1"/>
    </xf>
    <xf numFmtId="43" fontId="8" fillId="0" borderId="80" xfId="55" applyFont="1" applyBorder="1" applyAlignment="1">
      <alignment horizontal="center" vertical="center" wrapText="1"/>
    </xf>
    <xf numFmtId="43" fontId="1" fillId="0" borderId="81" xfId="55" applyFont="1" applyBorder="1" applyAlignment="1">
      <alignment horizontal="center" vertical="center" wrapText="1"/>
    </xf>
    <xf numFmtId="43" fontId="1" fillId="0" borderId="82" xfId="55" applyFont="1" applyBorder="1" applyAlignment="1">
      <alignment horizontal="center" vertical="center" wrapText="1"/>
    </xf>
    <xf numFmtId="43" fontId="1" fillId="0" borderId="83" xfId="55" applyFont="1" applyBorder="1" applyAlignment="1">
      <alignment horizontal="center" vertical="center" wrapText="1"/>
    </xf>
    <xf numFmtId="4" fontId="8" fillId="0" borderId="84" xfId="0" applyNumberFormat="1" applyFont="1" applyBorder="1" applyAlignment="1">
      <alignment horizontal="center" vertical="center" wrapText="1"/>
    </xf>
    <xf numFmtId="43" fontId="8" fillId="0" borderId="31" xfId="55" applyFont="1" applyBorder="1" applyAlignment="1">
      <alignment horizontal="center" vertical="center" wrapText="1"/>
    </xf>
    <xf numFmtId="43" fontId="1" fillId="0" borderId="32" xfId="55" applyFont="1" applyBorder="1" applyAlignment="1">
      <alignment horizontal="center" vertical="center" wrapText="1"/>
    </xf>
    <xf numFmtId="43" fontId="1" fillId="0" borderId="85" xfId="55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43" fontId="8" fillId="0" borderId="53" xfId="55" applyFont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4" fontId="8" fillId="0" borderId="88" xfId="0" applyNumberFormat="1" applyFont="1" applyBorder="1" applyAlignment="1">
      <alignment horizontal="center" vertical="center" wrapText="1"/>
    </xf>
    <xf numFmtId="43" fontId="8" fillId="0" borderId="18" xfId="55" applyFont="1" applyBorder="1" applyAlignment="1">
      <alignment horizontal="center" vertical="center" wrapText="1"/>
    </xf>
    <xf numFmtId="43" fontId="1" fillId="0" borderId="19" xfId="55" applyFont="1" applyBorder="1" applyAlignment="1">
      <alignment horizontal="center" vertical="center" wrapText="1"/>
    </xf>
    <xf numFmtId="43" fontId="1" fillId="0" borderId="89" xfId="55" applyFont="1" applyBorder="1" applyAlignment="1">
      <alignment horizontal="center" vertical="center" wrapText="1"/>
    </xf>
    <xf numFmtId="43" fontId="1" fillId="0" borderId="21" xfId="55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justify"/>
    </xf>
    <xf numFmtId="43" fontId="1" fillId="0" borderId="81" xfId="55" applyFont="1" applyBorder="1" applyAlignment="1">
      <alignment vertical="center" wrapText="1"/>
    </xf>
    <xf numFmtId="43" fontId="8" fillId="0" borderId="81" xfId="55" applyFont="1" applyBorder="1" applyAlignment="1">
      <alignment horizontal="center" vertical="center" wrapText="1"/>
    </xf>
    <xf numFmtId="43" fontId="75" fillId="0" borderId="81" xfId="55" applyFont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justify"/>
    </xf>
    <xf numFmtId="4" fontId="8" fillId="0" borderId="18" xfId="0" applyNumberFormat="1" applyFont="1" applyBorder="1" applyAlignment="1">
      <alignment horizontal="center" vertical="center" wrapText="1"/>
    </xf>
    <xf numFmtId="43" fontId="1" fillId="0" borderId="19" xfId="55" applyFont="1" applyBorder="1" applyAlignment="1">
      <alignment vertical="center" wrapText="1"/>
    </xf>
    <xf numFmtId="43" fontId="8" fillId="0" borderId="19" xfId="55" applyFont="1" applyBorder="1" applyAlignment="1">
      <alignment horizontal="center" vertical="center" wrapText="1"/>
    </xf>
    <xf numFmtId="43" fontId="75" fillId="0" borderId="19" xfId="55" applyFont="1" applyBorder="1" applyAlignment="1">
      <alignment horizontal="center" vertical="center" wrapText="1"/>
    </xf>
    <xf numFmtId="44" fontId="9" fillId="0" borderId="90" xfId="47" applyFont="1" applyFill="1" applyBorder="1" applyAlignment="1">
      <alignment horizontal="left" vertical="center"/>
    </xf>
    <xf numFmtId="0" fontId="2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1" fillId="0" borderId="91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11" fillId="0" borderId="7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14" fontId="14" fillId="0" borderId="40" xfId="0" applyNumberFormat="1" applyFont="1" applyFill="1" applyBorder="1" applyAlignment="1" applyProtection="1">
      <alignment horizontal="center"/>
      <protection/>
    </xf>
    <xf numFmtId="0" fontId="11" fillId="0" borderId="74" xfId="0" applyFont="1" applyFill="1" applyBorder="1" applyAlignment="1" applyProtection="1">
      <alignment/>
      <protection/>
    </xf>
    <xf numFmtId="0" fontId="11" fillId="0" borderId="91" xfId="0" applyFont="1" applyBorder="1" applyAlignment="1" applyProtection="1">
      <alignment/>
      <protection/>
    </xf>
    <xf numFmtId="14" fontId="14" fillId="35" borderId="40" xfId="0" applyNumberFormat="1" applyFont="1" applyFill="1" applyBorder="1" applyAlignment="1" applyProtection="1">
      <alignment horizontal="center"/>
      <protection locked="0"/>
    </xf>
    <xf numFmtId="14" fontId="5" fillId="0" borderId="40" xfId="0" applyNumberFormat="1" applyFont="1" applyFill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/>
      <protection/>
    </xf>
    <xf numFmtId="14" fontId="14" fillId="0" borderId="74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36" borderId="27" xfId="0" applyFont="1" applyFill="1" applyBorder="1" applyAlignment="1" applyProtection="1">
      <alignment/>
      <protection hidden="1"/>
    </xf>
    <xf numFmtId="14" fontId="14" fillId="0" borderId="40" xfId="0" applyNumberFormat="1" applyFont="1" applyFill="1" applyBorder="1" applyAlignment="1" applyProtection="1">
      <alignment horizontal="left"/>
      <protection/>
    </xf>
    <xf numFmtId="14" fontId="14" fillId="0" borderId="74" xfId="0" applyNumberFormat="1" applyFont="1" applyFill="1" applyBorder="1" applyAlignment="1" applyProtection="1">
      <alignment horizontal="left"/>
      <protection/>
    </xf>
    <xf numFmtId="14" fontId="14" fillId="35" borderId="91" xfId="0" applyNumberFormat="1" applyFont="1" applyFill="1" applyBorder="1" applyAlignment="1" applyProtection="1">
      <alignment/>
      <protection locked="0"/>
    </xf>
    <xf numFmtId="14" fontId="5" fillId="35" borderId="40" xfId="0" applyNumberFormat="1" applyFont="1" applyFill="1" applyBorder="1" applyAlignment="1" applyProtection="1">
      <alignment/>
      <protection locked="0"/>
    </xf>
    <xf numFmtId="14" fontId="14" fillId="35" borderId="40" xfId="0" applyNumberFormat="1" applyFont="1" applyFill="1" applyBorder="1" applyAlignment="1" applyProtection="1" quotePrefix="1">
      <alignment horizontal="center"/>
      <protection locked="0"/>
    </xf>
    <xf numFmtId="0" fontId="11" fillId="36" borderId="27" xfId="0" applyFont="1" applyFill="1" applyBorder="1" applyAlignment="1" applyProtection="1">
      <alignment/>
      <protection/>
    </xf>
    <xf numFmtId="193" fontId="14" fillId="0" borderId="28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193" fontId="5" fillId="0" borderId="0" xfId="0" applyNumberFormat="1" applyFont="1" applyBorder="1" applyAlignment="1" applyProtection="1">
      <alignment horizontal="right"/>
      <protection/>
    </xf>
    <xf numFmtId="0" fontId="11" fillId="0" borderId="28" xfId="0" applyFont="1" applyFill="1" applyBorder="1" applyAlignment="1" applyProtection="1">
      <alignment/>
      <protection/>
    </xf>
    <xf numFmtId="14" fontId="14" fillId="35" borderId="74" xfId="0" applyNumberFormat="1" applyFont="1" applyFill="1" applyBorder="1" applyAlignment="1" applyProtection="1">
      <alignment horizontal="left"/>
      <protection locked="0"/>
    </xf>
    <xf numFmtId="0" fontId="14" fillId="0" borderId="28" xfId="0" applyFont="1" applyFill="1" applyBorder="1" applyAlignment="1" applyProtection="1">
      <alignment horizontal="left"/>
      <protection/>
    </xf>
    <xf numFmtId="0" fontId="14" fillId="35" borderId="91" xfId="0" applyFont="1" applyFill="1" applyBorder="1" applyAlignment="1" applyProtection="1">
      <alignment horizontal="left"/>
      <protection locked="0"/>
    </xf>
    <xf numFmtId="0" fontId="14" fillId="35" borderId="40" xfId="0" applyFont="1" applyFill="1" applyBorder="1" applyAlignment="1" applyProtection="1">
      <alignment horizontal="left"/>
      <protection locked="0"/>
    </xf>
    <xf numFmtId="193" fontId="14" fillId="35" borderId="40" xfId="0" applyNumberFormat="1" applyFont="1" applyFill="1" applyBorder="1" applyAlignment="1" applyProtection="1">
      <alignment horizontal="right"/>
      <protection locked="0"/>
    </xf>
    <xf numFmtId="14" fontId="5" fillId="35" borderId="74" xfId="0" applyNumberFormat="1" applyFont="1" applyFill="1" applyBorder="1" applyAlignment="1" applyProtection="1">
      <alignment/>
      <protection locked="0"/>
    </xf>
    <xf numFmtId="0" fontId="14" fillId="0" borderId="91" xfId="0" applyFont="1" applyFill="1" applyBorder="1" applyAlignment="1" applyProtection="1">
      <alignment horizontal="left"/>
      <protection/>
    </xf>
    <xf numFmtId="0" fontId="12" fillId="35" borderId="41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left"/>
      <protection/>
    </xf>
    <xf numFmtId="14" fontId="14" fillId="35" borderId="40" xfId="0" applyNumberFormat="1" applyFont="1" applyFill="1" applyBorder="1" applyAlignment="1" applyProtection="1">
      <alignment horizontal="left"/>
      <protection locked="0"/>
    </xf>
    <xf numFmtId="0" fontId="11" fillId="37" borderId="92" xfId="0" applyFont="1" applyFill="1" applyBorder="1" applyAlignment="1" applyProtection="1">
      <alignment/>
      <protection/>
    </xf>
    <xf numFmtId="0" fontId="11" fillId="37" borderId="67" xfId="0" applyFont="1" applyFill="1" applyBorder="1" applyAlignment="1" applyProtection="1">
      <alignment/>
      <protection/>
    </xf>
    <xf numFmtId="0" fontId="11" fillId="37" borderId="68" xfId="0" applyFont="1" applyFill="1" applyBorder="1" applyAlignment="1" applyProtection="1">
      <alignment horizontal="center" vertical="center"/>
      <protection/>
    </xf>
    <xf numFmtId="0" fontId="11" fillId="37" borderId="92" xfId="0" applyFont="1" applyFill="1" applyBorder="1" applyAlignment="1" applyProtection="1">
      <alignment horizontal="left" vertical="center"/>
      <protection/>
    </xf>
    <xf numFmtId="0" fontId="11" fillId="37" borderId="67" xfId="0" applyFont="1" applyFill="1" applyBorder="1" applyAlignment="1" applyProtection="1">
      <alignment horizontal="center" vertical="center"/>
      <protection/>
    </xf>
    <xf numFmtId="0" fontId="11" fillId="37" borderId="92" xfId="0" applyFont="1" applyFill="1" applyBorder="1" applyAlignment="1" applyProtection="1">
      <alignment horizontal="left"/>
      <protection/>
    </xf>
    <xf numFmtId="0" fontId="11" fillId="37" borderId="67" xfId="0" applyFont="1" applyFill="1" applyBorder="1" applyAlignment="1" applyProtection="1">
      <alignment horizontal="center"/>
      <protection/>
    </xf>
    <xf numFmtId="0" fontId="11" fillId="37" borderId="68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1" fillId="37" borderId="91" xfId="0" applyFont="1" applyFill="1" applyBorder="1" applyAlignment="1" applyProtection="1">
      <alignment/>
      <protection/>
    </xf>
    <xf numFmtId="0" fontId="11" fillId="37" borderId="40" xfId="0" applyFont="1" applyFill="1" applyBorder="1" applyAlignment="1" applyProtection="1">
      <alignment/>
      <protection/>
    </xf>
    <xf numFmtId="0" fontId="11" fillId="37" borderId="91" xfId="0" applyFont="1" applyFill="1" applyBorder="1" applyAlignment="1" applyProtection="1">
      <alignment horizontal="center" vertical="center"/>
      <protection/>
    </xf>
    <xf numFmtId="0" fontId="11" fillId="37" borderId="74" xfId="0" applyFont="1" applyFill="1" applyBorder="1" applyAlignment="1" applyProtection="1">
      <alignment horizontal="center" vertical="center"/>
      <protection/>
    </xf>
    <xf numFmtId="0" fontId="11" fillId="37" borderId="40" xfId="0" applyFont="1" applyFill="1" applyBorder="1" applyAlignment="1" applyProtection="1">
      <alignment horizontal="center" vertical="center"/>
      <protection/>
    </xf>
    <xf numFmtId="0" fontId="11" fillId="37" borderId="91" xfId="0" applyFont="1" applyFill="1" applyBorder="1" applyAlignment="1" applyProtection="1">
      <alignment horizontal="left"/>
      <protection/>
    </xf>
    <xf numFmtId="0" fontId="11" fillId="37" borderId="40" xfId="0" applyFont="1" applyFill="1" applyBorder="1" applyAlignment="1" applyProtection="1">
      <alignment horizontal="center"/>
      <protection/>
    </xf>
    <xf numFmtId="0" fontId="11" fillId="37" borderId="74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vertical="justify"/>
      <protection/>
    </xf>
    <xf numFmtId="0" fontId="13" fillId="0" borderId="0" xfId="0" applyFont="1" applyAlignment="1" applyProtection="1">
      <alignment vertical="justify"/>
      <protection/>
    </xf>
    <xf numFmtId="43" fontId="13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justify"/>
      <protection/>
    </xf>
    <xf numFmtId="0" fontId="7" fillId="0" borderId="0" xfId="0" applyFont="1" applyAlignment="1" applyProtection="1">
      <alignment vertical="justify"/>
      <protection/>
    </xf>
    <xf numFmtId="171" fontId="7" fillId="0" borderId="0" xfId="0" applyNumberFormat="1" applyFont="1" applyAlignment="1" applyProtection="1">
      <alignment horizontal="center" vertical="center"/>
      <protection/>
    </xf>
    <xf numFmtId="171" fontId="13" fillId="0" borderId="0" xfId="0" applyNumberFormat="1" applyFont="1" applyAlignment="1" applyProtection="1">
      <alignment horizontal="center" vertical="center"/>
      <protection/>
    </xf>
    <xf numFmtId="43" fontId="7" fillId="0" borderId="0" xfId="0" applyNumberFormat="1" applyFont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left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4" fontId="11" fillId="35" borderId="35" xfId="0" applyNumberFormat="1" applyFont="1" applyFill="1" applyBorder="1" applyAlignment="1" applyProtection="1">
      <alignment horizontal="right"/>
      <protection/>
    </xf>
    <xf numFmtId="43" fontId="4" fillId="37" borderId="35" xfId="0" applyNumberFormat="1" applyFont="1" applyFill="1" applyBorder="1" applyAlignment="1" applyProtection="1">
      <alignment horizontal="right"/>
      <protection locked="0"/>
    </xf>
    <xf numFmtId="0" fontId="4" fillId="37" borderId="35" xfId="0" applyFont="1" applyFill="1" applyBorder="1" applyAlignment="1" applyProtection="1">
      <alignment horizontal="right"/>
      <protection locked="0"/>
    </xf>
    <xf numFmtId="10" fontId="11" fillId="37" borderId="35" xfId="53" applyNumberFormat="1" applyFont="1" applyFill="1" applyBorder="1" applyAlignment="1" applyProtection="1">
      <alignment horizontal="right"/>
      <protection locked="0"/>
    </xf>
    <xf numFmtId="10" fontId="11" fillId="37" borderId="42" xfId="53" applyNumberFormat="1" applyFont="1" applyFill="1" applyBorder="1" applyAlignment="1" applyProtection="1">
      <alignment/>
      <protection/>
    </xf>
    <xf numFmtId="10" fontId="11" fillId="37" borderId="35" xfId="53" applyNumberFormat="1" applyFont="1" applyFill="1" applyBorder="1" applyAlignment="1" applyProtection="1">
      <alignment/>
      <protection/>
    </xf>
    <xf numFmtId="10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0" fontId="11" fillId="0" borderId="0" xfId="53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top" wrapText="1"/>
      <protection/>
    </xf>
    <xf numFmtId="0" fontId="11" fillId="0" borderId="67" xfId="0" applyFont="1" applyBorder="1" applyAlignment="1" applyProtection="1">
      <alignment/>
      <protection/>
    </xf>
    <xf numFmtId="0" fontId="11" fillId="0" borderId="67" xfId="0" applyFont="1" applyBorder="1" applyAlignment="1" applyProtection="1">
      <alignment vertical="top" wrapText="1"/>
      <protection/>
    </xf>
    <xf numFmtId="10" fontId="11" fillId="0" borderId="67" xfId="53" applyNumberFormat="1" applyFont="1" applyBorder="1" applyAlignment="1" applyProtection="1">
      <alignment/>
      <protection/>
    </xf>
    <xf numFmtId="171" fontId="13" fillId="0" borderId="0" xfId="0" applyNumberFormat="1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vertical="top" wrapText="1"/>
      <protection/>
    </xf>
    <xf numFmtId="0" fontId="11" fillId="0" borderId="40" xfId="0" applyFont="1" applyBorder="1" applyAlignment="1" applyProtection="1">
      <alignment vertical="top" wrapText="1"/>
      <protection/>
    </xf>
    <xf numFmtId="10" fontId="11" fillId="0" borderId="40" xfId="53" applyNumberFormat="1" applyFont="1" applyBorder="1" applyAlignment="1" applyProtection="1">
      <alignment/>
      <protection/>
    </xf>
    <xf numFmtId="0" fontId="11" fillId="0" borderId="67" xfId="0" applyFont="1" applyBorder="1" applyAlignment="1" applyProtection="1">
      <alignment horizontal="left" vertical="top"/>
      <protection/>
    </xf>
    <xf numFmtId="0" fontId="11" fillId="0" borderId="67" xfId="0" applyFont="1" applyBorder="1" applyAlignment="1" applyProtection="1">
      <alignment horizontal="right" vertical="top"/>
      <protection/>
    </xf>
    <xf numFmtId="0" fontId="11" fillId="36" borderId="67" xfId="0" applyFont="1" applyFill="1" applyBorder="1" applyAlignment="1" applyProtection="1">
      <alignment/>
      <protection hidden="1"/>
    </xf>
    <xf numFmtId="0" fontId="11" fillId="0" borderId="67" xfId="0" applyFont="1" applyBorder="1" applyAlignment="1" applyProtection="1">
      <alignment horizontal="center" vertical="top"/>
      <protection/>
    </xf>
    <xf numFmtId="10" fontId="11" fillId="0" borderId="67" xfId="53" applyNumberFormat="1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43" fontId="4" fillId="37" borderId="35" xfId="57" applyFont="1" applyFill="1" applyBorder="1" applyAlignment="1" applyProtection="1">
      <alignment horizontal="center"/>
      <protection locked="0"/>
    </xf>
    <xf numFmtId="43" fontId="4" fillId="37" borderId="90" xfId="57" applyFont="1" applyFill="1" applyBorder="1" applyAlignment="1" applyProtection="1">
      <alignment horizontal="center"/>
      <protection locked="0"/>
    </xf>
    <xf numFmtId="43" fontId="4" fillId="0" borderId="0" xfId="57" applyFont="1" applyBorder="1" applyAlignment="1" applyProtection="1">
      <alignment/>
      <protection/>
    </xf>
    <xf numFmtId="43" fontId="4" fillId="0" borderId="28" xfId="57" applyFont="1" applyBorder="1" applyAlignment="1" applyProtection="1">
      <alignment/>
      <protection/>
    </xf>
    <xf numFmtId="17" fontId="4" fillId="0" borderId="0" xfId="0" applyNumberFormat="1" applyFont="1" applyAlignment="1">
      <alignment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78" xfId="0" applyNumberFormat="1" applyFont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43" fontId="13" fillId="0" borderId="0" xfId="57" applyFont="1" applyAlignment="1" applyProtection="1">
      <alignment horizontal="center" vertical="center"/>
      <protection/>
    </xf>
    <xf numFmtId="10" fontId="13" fillId="0" borderId="0" xfId="57" applyNumberFormat="1" applyFont="1" applyAlignment="1" applyProtection="1">
      <alignment horizontal="center" vertical="center"/>
      <protection/>
    </xf>
    <xf numFmtId="43" fontId="13" fillId="0" borderId="0" xfId="57" applyFont="1" applyBorder="1" applyAlignment="1" applyProtection="1">
      <alignment horizontal="center" vertical="center"/>
      <protection/>
    </xf>
    <xf numFmtId="43" fontId="1" fillId="0" borderId="52" xfId="55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2" fontId="1" fillId="0" borderId="0" xfId="55" applyNumberFormat="1" applyFont="1" applyFill="1" applyBorder="1" applyAlignment="1">
      <alignment horizontal="center" vertical="center" wrapText="1"/>
    </xf>
    <xf numFmtId="43" fontId="1" fillId="0" borderId="13" xfId="55" applyFont="1" applyBorder="1" applyAlignment="1">
      <alignment horizontal="center" vertical="center" wrapText="1"/>
    </xf>
    <xf numFmtId="43" fontId="1" fillId="0" borderId="64" xfId="55" applyFont="1" applyBorder="1" applyAlignment="1">
      <alignment horizontal="center" vertical="center" wrapText="1"/>
    </xf>
    <xf numFmtId="43" fontId="1" fillId="0" borderId="0" xfId="55" applyFont="1" applyBorder="1" applyAlignment="1">
      <alignment horizontal="center" vertical="center" wrapText="1"/>
    </xf>
    <xf numFmtId="43" fontId="1" fillId="0" borderId="80" xfId="55" applyFont="1" applyBorder="1" applyAlignment="1">
      <alignment horizontal="center" vertical="center" wrapText="1"/>
    </xf>
    <xf numFmtId="43" fontId="1" fillId="0" borderId="31" xfId="55" applyFont="1" applyBorder="1" applyAlignment="1">
      <alignment horizontal="center" vertical="center" wrapText="1"/>
    </xf>
    <xf numFmtId="43" fontId="1" fillId="0" borderId="18" xfId="55" applyFont="1" applyBorder="1" applyAlignment="1">
      <alignment horizontal="center" vertical="center" wrapText="1"/>
    </xf>
    <xf numFmtId="43" fontId="1" fillId="0" borderId="78" xfId="55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2" fontId="1" fillId="0" borderId="55" xfId="55" applyNumberFormat="1" applyFont="1" applyFill="1" applyBorder="1" applyAlignment="1">
      <alignment horizontal="center" vertical="center" wrapText="1"/>
    </xf>
    <xf numFmtId="43" fontId="1" fillId="0" borderId="55" xfId="55" applyFont="1" applyBorder="1" applyAlignment="1">
      <alignment horizontal="center" vertical="center" wrapText="1"/>
    </xf>
    <xf numFmtId="2" fontId="1" fillId="0" borderId="86" xfId="55" applyNumberFormat="1" applyFont="1" applyFill="1" applyBorder="1" applyAlignment="1">
      <alignment horizontal="center" vertical="center" wrapText="1"/>
    </xf>
    <xf numFmtId="43" fontId="1" fillId="0" borderId="86" xfId="55" applyFont="1" applyBorder="1" applyAlignment="1">
      <alignment horizontal="center" vertical="center" wrapText="1"/>
    </xf>
    <xf numFmtId="43" fontId="1" fillId="0" borderId="88" xfId="55" applyFont="1" applyBorder="1" applyAlignment="1">
      <alignment horizontal="center" vertical="center" wrapText="1"/>
    </xf>
    <xf numFmtId="43" fontId="1" fillId="0" borderId="77" xfId="55" applyFont="1" applyBorder="1" applyAlignment="1">
      <alignment horizontal="center" vertical="center" wrapText="1"/>
    </xf>
    <xf numFmtId="2" fontId="8" fillId="0" borderId="54" xfId="55" applyNumberFormat="1" applyFont="1" applyFill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0" fontId="8" fillId="39" borderId="50" xfId="0" applyFont="1" applyFill="1" applyBorder="1" applyAlignment="1">
      <alignment horizontal="center" vertical="center" wrapText="1"/>
    </xf>
    <xf numFmtId="49" fontId="8" fillId="39" borderId="51" xfId="0" applyNumberFormat="1" applyFont="1" applyFill="1" applyBorder="1" applyAlignment="1">
      <alignment horizontal="center" vertical="center" wrapText="1"/>
    </xf>
    <xf numFmtId="2" fontId="8" fillId="39" borderId="51" xfId="55" applyNumberFormat="1" applyFont="1" applyFill="1" applyBorder="1" applyAlignment="1">
      <alignment horizontal="center" vertical="center" wrapText="1"/>
    </xf>
    <xf numFmtId="4" fontId="8" fillId="39" borderId="80" xfId="0" applyNumberFormat="1" applyFont="1" applyFill="1" applyBorder="1" applyAlignment="1">
      <alignment horizontal="center" vertical="center" wrapText="1"/>
    </xf>
    <xf numFmtId="4" fontId="8" fillId="39" borderId="18" xfId="0" applyNumberFormat="1" applyFont="1" applyFill="1" applyBorder="1" applyAlignment="1">
      <alignment horizontal="center" vertical="center" wrapText="1"/>
    </xf>
    <xf numFmtId="4" fontId="8" fillId="39" borderId="51" xfId="0" applyNumberFormat="1" applyFont="1" applyFill="1" applyBorder="1" applyAlignment="1">
      <alignment horizontal="center" vertical="center" wrapText="1"/>
    </xf>
    <xf numFmtId="4" fontId="8" fillId="39" borderId="31" xfId="0" applyNumberFormat="1" applyFont="1" applyFill="1" applyBorder="1" applyAlignment="1">
      <alignment horizontal="center" vertical="center" wrapText="1"/>
    </xf>
    <xf numFmtId="4" fontId="8" fillId="39" borderId="78" xfId="0" applyNumberFormat="1" applyFont="1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2" fontId="1" fillId="38" borderId="52" xfId="55" applyNumberFormat="1" applyFont="1" applyFill="1" applyBorder="1" applyAlignment="1">
      <alignment horizontal="center" vertical="center" wrapText="1"/>
    </xf>
    <xf numFmtId="43" fontId="1" fillId="38" borderId="82" xfId="55" applyFont="1" applyFill="1" applyBorder="1" applyAlignment="1">
      <alignment horizontal="center" vertical="center" wrapText="1"/>
    </xf>
    <xf numFmtId="43" fontId="1" fillId="38" borderId="89" xfId="55" applyFont="1" applyFill="1" applyBorder="1" applyAlignment="1">
      <alignment horizontal="center" vertical="center" wrapText="1"/>
    </xf>
    <xf numFmtId="43" fontId="1" fillId="38" borderId="52" xfId="55" applyFont="1" applyFill="1" applyBorder="1" applyAlignment="1">
      <alignment horizontal="center" vertical="center" wrapText="1"/>
    </xf>
    <xf numFmtId="43" fontId="1" fillId="38" borderId="81" xfId="55" applyFont="1" applyFill="1" applyBorder="1" applyAlignment="1">
      <alignment horizontal="center" vertical="center" wrapText="1"/>
    </xf>
    <xf numFmtId="43" fontId="1" fillId="38" borderId="32" xfId="55" applyFont="1" applyFill="1" applyBorder="1" applyAlignment="1">
      <alignment horizontal="center" vertical="center" wrapText="1"/>
    </xf>
    <xf numFmtId="43" fontId="1" fillId="38" borderId="19" xfId="55" applyFont="1" applyFill="1" applyBorder="1" applyAlignment="1">
      <alignment horizontal="center" vertical="center" wrapText="1"/>
    </xf>
    <xf numFmtId="43" fontId="1" fillId="38" borderId="53" xfId="55" applyFont="1" applyFill="1" applyBorder="1" applyAlignment="1">
      <alignment horizontal="center" vertical="center" wrapText="1"/>
    </xf>
    <xf numFmtId="171" fontId="9" fillId="0" borderId="0" xfId="0" applyNumberFormat="1" applyFont="1" applyBorder="1" applyAlignment="1">
      <alignment horizontal="center" vertical="center"/>
    </xf>
    <xf numFmtId="171" fontId="9" fillId="0" borderId="14" xfId="0" applyNumberFormat="1" applyFont="1" applyBorder="1" applyAlignment="1">
      <alignment horizontal="center" vertical="center"/>
    </xf>
    <xf numFmtId="171" fontId="9" fillId="38" borderId="46" xfId="0" applyNumberFormat="1" applyFont="1" applyFill="1" applyBorder="1" applyAlignment="1">
      <alignment horizontal="center" vertical="center"/>
    </xf>
    <xf numFmtId="171" fontId="9" fillId="38" borderId="87" xfId="0" applyNumberFormat="1" applyFont="1" applyFill="1" applyBorder="1" applyAlignment="1">
      <alignment horizontal="center" vertical="center"/>
    </xf>
    <xf numFmtId="171" fontId="9" fillId="38" borderId="76" xfId="0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 wrapText="1"/>
    </xf>
    <xf numFmtId="43" fontId="1" fillId="0" borderId="93" xfId="55" applyFont="1" applyBorder="1" applyAlignment="1">
      <alignment horizontal="center" vertical="center" wrapText="1"/>
    </xf>
    <xf numFmtId="43" fontId="1" fillId="0" borderId="94" xfId="55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left" vertical="center" wrapText="1"/>
    </xf>
    <xf numFmtId="2" fontId="1" fillId="0" borderId="11" xfId="55" applyNumberFormat="1" applyFont="1" applyFill="1" applyBorder="1" applyAlignment="1">
      <alignment horizontal="center" vertical="center" wrapText="1"/>
    </xf>
    <xf numFmtId="43" fontId="1" fillId="0" borderId="10" xfId="55" applyFont="1" applyBorder="1" applyAlignment="1">
      <alignment horizontal="center" vertical="center" wrapText="1"/>
    </xf>
    <xf numFmtId="43" fontId="1" fillId="0" borderId="96" xfId="55" applyFont="1" applyBorder="1" applyAlignment="1">
      <alignment horizontal="center" vertical="center" wrapText="1"/>
    </xf>
    <xf numFmtId="43" fontId="1" fillId="0" borderId="11" xfId="55" applyFont="1" applyBorder="1" applyAlignment="1">
      <alignment horizontal="center" vertical="center" wrapText="1"/>
    </xf>
    <xf numFmtId="43" fontId="1" fillId="0" borderId="97" xfId="55" applyFont="1" applyBorder="1" applyAlignment="1">
      <alignment horizontal="center" vertical="center" wrapText="1"/>
    </xf>
    <xf numFmtId="43" fontId="1" fillId="0" borderId="12" xfId="55" applyFont="1" applyBorder="1" applyAlignment="1">
      <alignment horizontal="center" vertical="center" wrapText="1"/>
    </xf>
    <xf numFmtId="43" fontId="5" fillId="0" borderId="0" xfId="55" applyFont="1" applyBorder="1" applyAlignment="1">
      <alignment/>
    </xf>
    <xf numFmtId="43" fontId="5" fillId="0" borderId="0" xfId="55" applyNumberFormat="1" applyFont="1" applyBorder="1" applyAlignment="1">
      <alignment/>
    </xf>
    <xf numFmtId="43" fontId="9" fillId="39" borderId="46" xfId="55" applyFont="1" applyFill="1" applyBorder="1" applyAlignment="1">
      <alignment horizontal="center" vertical="center" wrapText="1"/>
    </xf>
    <xf numFmtId="43" fontId="9" fillId="39" borderId="87" xfId="55" applyFont="1" applyFill="1" applyBorder="1" applyAlignment="1">
      <alignment horizontal="center" vertical="center" wrapText="1"/>
    </xf>
    <xf numFmtId="43" fontId="9" fillId="39" borderId="76" xfId="55" applyFont="1" applyFill="1" applyBorder="1" applyAlignment="1">
      <alignment horizontal="center" vertical="center" wrapText="1"/>
    </xf>
    <xf numFmtId="43" fontId="0" fillId="0" borderId="0" xfId="55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 vertical="center"/>
    </xf>
    <xf numFmtId="171" fontId="8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41" xfId="0" applyFont="1" applyBorder="1" applyAlignment="1">
      <alignment horizontal="center"/>
    </xf>
    <xf numFmtId="0" fontId="1" fillId="0" borderId="27" xfId="0" applyFont="1" applyBorder="1" applyAlignment="1">
      <alignment/>
    </xf>
    <xf numFmtId="171" fontId="8" fillId="0" borderId="28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/>
    </xf>
    <xf numFmtId="0" fontId="1" fillId="0" borderId="40" xfId="0" applyFont="1" applyBorder="1" applyAlignment="1">
      <alignment horizontal="center"/>
    </xf>
    <xf numFmtId="171" fontId="8" fillId="0" borderId="40" xfId="0" applyNumberFormat="1" applyFont="1" applyBorder="1" applyAlignment="1">
      <alignment horizontal="center" vertical="center"/>
    </xf>
    <xf numFmtId="171" fontId="8" fillId="0" borderId="74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71" fontId="1" fillId="0" borderId="64" xfId="0" applyNumberFormat="1" applyFont="1" applyBorder="1" applyAlignment="1">
      <alignment horizontal="center" vertical="center"/>
    </xf>
    <xf numFmtId="171" fontId="1" fillId="0" borderId="40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2" xfId="0" applyFont="1" applyBorder="1" applyAlignment="1">
      <alignment/>
    </xf>
    <xf numFmtId="0" fontId="1" fillId="0" borderId="67" xfId="0" applyFont="1" applyBorder="1" applyAlignment="1">
      <alignment horizontal="center"/>
    </xf>
    <xf numFmtId="171" fontId="1" fillId="0" borderId="67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35" xfId="0" applyFont="1" applyBorder="1" applyAlignment="1">
      <alignment horizontal="center"/>
    </xf>
    <xf numFmtId="171" fontId="1" fillId="0" borderId="41" xfId="0" applyNumberFormat="1" applyFont="1" applyBorder="1" applyAlignment="1">
      <alignment horizontal="center" vertical="center"/>
    </xf>
    <xf numFmtId="171" fontId="1" fillId="0" borderId="90" xfId="0" applyNumberFormat="1" applyFont="1" applyBorder="1" applyAlignment="1">
      <alignment horizontal="center" vertical="center"/>
    </xf>
    <xf numFmtId="171" fontId="1" fillId="0" borderId="28" xfId="0" applyNumberFormat="1" applyFont="1" applyBorder="1" applyAlignment="1">
      <alignment horizontal="center" vertical="center"/>
    </xf>
    <xf numFmtId="171" fontId="1" fillId="0" borderId="68" xfId="0" applyNumberFormat="1" applyFont="1" applyBorder="1" applyAlignment="1">
      <alignment horizontal="center" vertical="center"/>
    </xf>
    <xf numFmtId="171" fontId="1" fillId="0" borderId="7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  <xf numFmtId="0" fontId="0" fillId="33" borderId="64" xfId="0" applyFill="1" applyBorder="1" applyAlignment="1">
      <alignment vertical="center" wrapText="1"/>
    </xf>
    <xf numFmtId="4" fontId="11" fillId="33" borderId="18" xfId="0" applyNumberFormat="1" applyFont="1" applyFill="1" applyBorder="1" applyAlignment="1">
      <alignment vertical="top" wrapText="1"/>
    </xf>
    <xf numFmtId="182" fontId="7" fillId="33" borderId="18" xfId="0" applyNumberFormat="1" applyFont="1" applyFill="1" applyBorder="1" applyAlignment="1">
      <alignment vertical="top" wrapText="1"/>
    </xf>
    <xf numFmtId="182" fontId="7" fillId="33" borderId="31" xfId="0" applyNumberFormat="1" applyFont="1" applyFill="1" applyBorder="1" applyAlignment="1">
      <alignment vertical="top" wrapText="1"/>
    </xf>
    <xf numFmtId="49" fontId="11" fillId="33" borderId="98" xfId="0" applyNumberFormat="1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 wrapText="1"/>
    </xf>
    <xf numFmtId="0" fontId="9" fillId="33" borderId="99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69" xfId="0" applyFill="1" applyBorder="1" applyAlignment="1">
      <alignment vertical="center" wrapText="1"/>
    </xf>
    <xf numFmtId="4" fontId="11" fillId="33" borderId="69" xfId="0" applyNumberFormat="1" applyFont="1" applyFill="1" applyBorder="1" applyAlignment="1">
      <alignment vertical="top" wrapText="1"/>
    </xf>
    <xf numFmtId="182" fontId="7" fillId="33" borderId="69" xfId="0" applyNumberFormat="1" applyFont="1" applyFill="1" applyBorder="1" applyAlignment="1">
      <alignment vertical="top" wrapText="1"/>
    </xf>
    <xf numFmtId="182" fontId="7" fillId="33" borderId="100" xfId="0" applyNumberFormat="1" applyFont="1" applyFill="1" applyBorder="1" applyAlignment="1">
      <alignment vertical="top" wrapText="1"/>
    </xf>
    <xf numFmtId="44" fontId="1" fillId="0" borderId="0" xfId="0" applyNumberFormat="1" applyFont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43" fontId="1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1" fillId="0" borderId="0" xfId="55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43" fontId="4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0" xfId="0" applyNumberFormat="1" applyFont="1" applyAlignment="1">
      <alignment/>
    </xf>
    <xf numFmtId="49" fontId="1" fillId="0" borderId="52" xfId="0" applyNumberFormat="1" applyFont="1" applyBorder="1" applyAlignment="1">
      <alignment horizontal="center" vertical="center" wrapText="1"/>
    </xf>
    <xf numFmtId="43" fontId="1" fillId="0" borderId="89" xfId="55" applyFont="1" applyBorder="1" applyAlignment="1">
      <alignment vertical="center" wrapText="1"/>
    </xf>
    <xf numFmtId="43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3" fontId="0" fillId="34" borderId="0" xfId="55" applyFont="1" applyFill="1" applyBorder="1" applyAlignment="1">
      <alignment horizontal="left" vertical="center" wrapText="1"/>
    </xf>
    <xf numFmtId="43" fontId="0" fillId="34" borderId="0" xfId="55" applyFont="1" applyFill="1" applyAlignment="1">
      <alignment/>
    </xf>
    <xf numFmtId="171" fontId="8" fillId="0" borderId="35" xfId="0" applyNumberFormat="1" applyFont="1" applyBorder="1" applyAlignment="1">
      <alignment horizontal="center" vertical="center"/>
    </xf>
    <xf numFmtId="171" fontId="8" fillId="0" borderId="90" xfId="0" applyNumberFormat="1" applyFont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9" fillId="33" borderId="28" xfId="0" applyFont="1" applyFill="1" applyBorder="1" applyAlignment="1">
      <alignment wrapText="1"/>
    </xf>
    <xf numFmtId="0" fontId="48" fillId="34" borderId="73" xfId="0" applyFont="1" applyFill="1" applyBorder="1" applyAlignment="1">
      <alignment horizontal="center" vertical="center"/>
    </xf>
    <xf numFmtId="0" fontId="48" fillId="34" borderId="62" xfId="0" applyFont="1" applyFill="1" applyBorder="1" applyAlignment="1">
      <alignment horizontal="center" vertical="center"/>
    </xf>
    <xf numFmtId="43" fontId="48" fillId="0" borderId="92" xfId="55" applyFont="1" applyBorder="1" applyAlignment="1">
      <alignment horizontal="center" vertical="center"/>
    </xf>
    <xf numFmtId="43" fontId="48" fillId="0" borderId="91" xfId="55" applyFont="1" applyBorder="1" applyAlignment="1">
      <alignment horizontal="center" vertical="center"/>
    </xf>
    <xf numFmtId="43" fontId="48" fillId="0" borderId="101" xfId="55" applyFont="1" applyBorder="1" applyAlignment="1">
      <alignment horizontal="center" vertical="center"/>
    </xf>
    <xf numFmtId="43" fontId="48" fillId="0" borderId="102" xfId="55" applyFont="1" applyBorder="1" applyAlignment="1">
      <alignment horizontal="center" vertical="center"/>
    </xf>
    <xf numFmtId="43" fontId="48" fillId="0" borderId="70" xfId="55" applyFont="1" applyBorder="1" applyAlignment="1">
      <alignment horizontal="center" vertical="center"/>
    </xf>
    <xf numFmtId="43" fontId="48" fillId="0" borderId="69" xfId="55" applyFont="1" applyBorder="1" applyAlignment="1">
      <alignment horizontal="center" vertical="center"/>
    </xf>
    <xf numFmtId="2" fontId="48" fillId="0" borderId="67" xfId="0" applyNumberFormat="1" applyFont="1" applyBorder="1" applyAlignment="1">
      <alignment horizontal="center" vertical="center"/>
    </xf>
    <xf numFmtId="2" fontId="48" fillId="0" borderId="40" xfId="0" applyNumberFormat="1" applyFont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justify"/>
    </xf>
    <xf numFmtId="43" fontId="1" fillId="0" borderId="104" xfId="55" applyFont="1" applyBorder="1" applyAlignment="1">
      <alignment horizontal="center" vertical="center" wrapText="1"/>
    </xf>
    <xf numFmtId="43" fontId="8" fillId="0" borderId="105" xfId="55" applyFont="1" applyBorder="1" applyAlignment="1">
      <alignment horizontal="center" vertical="center" wrapText="1"/>
    </xf>
    <xf numFmtId="43" fontId="1" fillId="0" borderId="106" xfId="55" applyFont="1" applyBorder="1" applyAlignment="1">
      <alignment vertical="center" wrapText="1"/>
    </xf>
    <xf numFmtId="43" fontId="1" fillId="0" borderId="106" xfId="55" applyFont="1" applyBorder="1" applyAlignment="1">
      <alignment horizontal="center" vertical="center" wrapText="1"/>
    </xf>
    <xf numFmtId="43" fontId="8" fillId="0" borderId="106" xfId="55" applyFont="1" applyBorder="1" applyAlignment="1">
      <alignment horizontal="center" vertical="center" wrapText="1"/>
    </xf>
    <xf numFmtId="43" fontId="75" fillId="0" borderId="106" xfId="55" applyFont="1" applyBorder="1" applyAlignment="1">
      <alignment horizontal="center" vertical="center" wrapText="1"/>
    </xf>
    <xf numFmtId="43" fontId="1" fillId="0" borderId="107" xfId="55" applyFont="1" applyBorder="1" applyAlignment="1">
      <alignment horizontal="center" vertical="center" wrapText="1"/>
    </xf>
    <xf numFmtId="43" fontId="1" fillId="0" borderId="49" xfId="55" applyFont="1" applyBorder="1" applyAlignment="1">
      <alignment horizontal="center" vertical="center" wrapText="1"/>
    </xf>
    <xf numFmtId="43" fontId="8" fillId="0" borderId="50" xfId="55" applyFont="1" applyBorder="1" applyAlignment="1">
      <alignment horizontal="center" vertical="center" wrapText="1"/>
    </xf>
    <xf numFmtId="43" fontId="1" fillId="0" borderId="45" xfId="55" applyFont="1" applyBorder="1" applyAlignment="1">
      <alignment vertical="center" wrapText="1"/>
    </xf>
    <xf numFmtId="43" fontId="1" fillId="0" borderId="48" xfId="55" applyFont="1" applyBorder="1" applyAlignment="1">
      <alignment horizontal="center" vertical="center" wrapText="1"/>
    </xf>
    <xf numFmtId="2" fontId="1" fillId="0" borderId="9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48" fillId="34" borderId="10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center" vertical="justify"/>
    </xf>
    <xf numFmtId="0" fontId="9" fillId="0" borderId="60" xfId="0" applyFont="1" applyFill="1" applyBorder="1" applyAlignment="1">
      <alignment horizontal="center" vertical="justify"/>
    </xf>
    <xf numFmtId="0" fontId="9" fillId="0" borderId="61" xfId="0" applyFont="1" applyFill="1" applyBorder="1" applyAlignment="1">
      <alignment horizontal="center" vertical="justify"/>
    </xf>
    <xf numFmtId="0" fontId="9" fillId="0" borderId="63" xfId="0" applyFont="1" applyFill="1" applyBorder="1" applyAlignment="1">
      <alignment horizontal="left" vertical="justify"/>
    </xf>
    <xf numFmtId="0" fontId="9" fillId="0" borderId="35" xfId="0" applyFont="1" applyFill="1" applyBorder="1" applyAlignment="1">
      <alignment horizontal="left" vertical="justify"/>
    </xf>
    <xf numFmtId="0" fontId="9" fillId="0" borderId="90" xfId="0" applyFont="1" applyFill="1" applyBorder="1" applyAlignment="1">
      <alignment horizontal="left" vertical="justify"/>
    </xf>
    <xf numFmtId="0" fontId="9" fillId="0" borderId="4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09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left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76" xfId="0" applyBorder="1" applyAlignment="1">
      <alignment horizontal="center"/>
    </xf>
    <xf numFmtId="0" fontId="14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/>
    </xf>
    <xf numFmtId="193" fontId="14" fillId="35" borderId="91" xfId="0" applyNumberFormat="1" applyFont="1" applyFill="1" applyBorder="1" applyAlignment="1" applyProtection="1">
      <alignment horizontal="center"/>
      <protection locked="0"/>
    </xf>
    <xf numFmtId="193" fontId="14" fillId="35" borderId="40" xfId="0" applyNumberFormat="1" applyFont="1" applyFill="1" applyBorder="1" applyAlignment="1" applyProtection="1">
      <alignment horizontal="center"/>
      <protection locked="0"/>
    </xf>
    <xf numFmtId="193" fontId="14" fillId="35" borderId="74" xfId="0" applyNumberFormat="1" applyFont="1" applyFill="1" applyBorder="1" applyAlignment="1" applyProtection="1">
      <alignment horizontal="center"/>
      <protection locked="0"/>
    </xf>
    <xf numFmtId="14" fontId="14" fillId="35" borderId="91" xfId="0" applyNumberFormat="1" applyFont="1" applyFill="1" applyBorder="1" applyAlignment="1" applyProtection="1">
      <alignment horizontal="center"/>
      <protection locked="0"/>
    </xf>
    <xf numFmtId="14" fontId="14" fillId="35" borderId="40" xfId="0" applyNumberFormat="1" applyFont="1" applyFill="1" applyBorder="1" applyAlignment="1" applyProtection="1">
      <alignment horizontal="center"/>
      <protection locked="0"/>
    </xf>
    <xf numFmtId="193" fontId="14" fillId="35" borderId="91" xfId="0" applyNumberFormat="1" applyFont="1" applyFill="1" applyBorder="1" applyAlignment="1" applyProtection="1">
      <alignment horizontal="left" wrapText="1"/>
      <protection locked="0"/>
    </xf>
    <xf numFmtId="193" fontId="14" fillId="35" borderId="40" xfId="0" applyNumberFormat="1" applyFont="1" applyFill="1" applyBorder="1" applyAlignment="1" applyProtection="1">
      <alignment horizontal="left" wrapText="1"/>
      <protection locked="0"/>
    </xf>
    <xf numFmtId="193" fontId="14" fillId="35" borderId="74" xfId="0" applyNumberFormat="1" applyFont="1" applyFill="1" applyBorder="1" applyAlignment="1" applyProtection="1">
      <alignment horizontal="left" wrapText="1"/>
      <protection locked="0"/>
    </xf>
    <xf numFmtId="14" fontId="14" fillId="35" borderId="74" xfId="0" applyNumberFormat="1" applyFont="1" applyFill="1" applyBorder="1" applyAlignment="1" applyProtection="1">
      <alignment horizontal="center"/>
      <protection locked="0"/>
    </xf>
    <xf numFmtId="192" fontId="14" fillId="35" borderId="91" xfId="0" applyNumberFormat="1" applyFont="1" applyFill="1" applyBorder="1" applyAlignment="1" applyProtection="1">
      <alignment horizontal="center"/>
      <protection locked="0"/>
    </xf>
    <xf numFmtId="192" fontId="14" fillId="35" borderId="40" xfId="0" applyNumberFormat="1" applyFont="1" applyFill="1" applyBorder="1" applyAlignment="1" applyProtection="1">
      <alignment horizontal="center"/>
      <protection locked="0"/>
    </xf>
    <xf numFmtId="192" fontId="14" fillId="35" borderId="74" xfId="0" applyNumberFormat="1" applyFont="1" applyFill="1" applyBorder="1" applyAlignment="1" applyProtection="1">
      <alignment horizontal="center"/>
      <protection locked="0"/>
    </xf>
    <xf numFmtId="14" fontId="9" fillId="35" borderId="40" xfId="0" applyNumberFormat="1" applyFont="1" applyFill="1" applyBorder="1" applyAlignment="1" applyProtection="1">
      <alignment horizontal="center"/>
      <protection locked="0"/>
    </xf>
    <xf numFmtId="0" fontId="12" fillId="35" borderId="91" xfId="0" applyFont="1" applyFill="1" applyBorder="1" applyAlignment="1" applyProtection="1">
      <alignment horizontal="center"/>
      <protection locked="0"/>
    </xf>
    <xf numFmtId="0" fontId="12" fillId="35" borderId="40" xfId="0" applyFont="1" applyFill="1" applyBorder="1" applyAlignment="1" applyProtection="1">
      <alignment horizontal="center"/>
      <protection locked="0"/>
    </xf>
    <xf numFmtId="0" fontId="12" fillId="35" borderId="74" xfId="0" applyFont="1" applyFill="1" applyBorder="1" applyAlignment="1" applyProtection="1">
      <alignment horizontal="center"/>
      <protection locked="0"/>
    </xf>
    <xf numFmtId="0" fontId="14" fillId="35" borderId="91" xfId="0" applyFont="1" applyFill="1" applyBorder="1" applyAlignment="1" applyProtection="1">
      <alignment horizontal="center"/>
      <protection locked="0"/>
    </xf>
    <xf numFmtId="0" fontId="14" fillId="35" borderId="40" xfId="0" applyFont="1" applyFill="1" applyBorder="1" applyAlignment="1" applyProtection="1">
      <alignment horizontal="center"/>
      <protection locked="0"/>
    </xf>
    <xf numFmtId="0" fontId="14" fillId="35" borderId="74" xfId="0" applyFont="1" applyFill="1" applyBorder="1" applyAlignment="1" applyProtection="1">
      <alignment horizontal="center"/>
      <protection locked="0"/>
    </xf>
    <xf numFmtId="0" fontId="11" fillId="37" borderId="42" xfId="0" applyFont="1" applyFill="1" applyBorder="1" applyAlignment="1" applyProtection="1">
      <alignment horizontal="center"/>
      <protection/>
    </xf>
    <xf numFmtId="0" fontId="11" fillId="37" borderId="35" xfId="0" applyFont="1" applyFill="1" applyBorder="1" applyAlignment="1" applyProtection="1">
      <alignment horizontal="center"/>
      <protection/>
    </xf>
    <xf numFmtId="0" fontId="11" fillId="37" borderId="90" xfId="0" applyFont="1" applyFill="1" applyBorder="1" applyAlignment="1" applyProtection="1">
      <alignment horizontal="center"/>
      <protection/>
    </xf>
    <xf numFmtId="0" fontId="11" fillId="37" borderId="27" xfId="0" applyFont="1" applyFill="1" applyBorder="1" applyAlignment="1" applyProtection="1">
      <alignment horizontal="center"/>
      <protection/>
    </xf>
    <xf numFmtId="0" fontId="11" fillId="37" borderId="0" xfId="0" applyFont="1" applyFill="1" applyBorder="1" applyAlignment="1" applyProtection="1">
      <alignment horizontal="center"/>
      <protection/>
    </xf>
    <xf numFmtId="0" fontId="11" fillId="37" borderId="28" xfId="0" applyFont="1" applyFill="1" applyBorder="1" applyAlignment="1" applyProtection="1">
      <alignment horizontal="center"/>
      <protection/>
    </xf>
    <xf numFmtId="0" fontId="11" fillId="37" borderId="92" xfId="0" applyFont="1" applyFill="1" applyBorder="1" applyAlignment="1" applyProtection="1">
      <alignment horizontal="center" vertical="center"/>
      <protection/>
    </xf>
    <xf numFmtId="0" fontId="11" fillId="37" borderId="68" xfId="0" applyFont="1" applyFill="1" applyBorder="1" applyAlignment="1" applyProtection="1">
      <alignment horizontal="center" vertical="center"/>
      <protection/>
    </xf>
    <xf numFmtId="0" fontId="11" fillId="37" borderId="91" xfId="0" applyFont="1" applyFill="1" applyBorder="1" applyAlignment="1" applyProtection="1">
      <alignment horizontal="center" vertical="center"/>
      <protection/>
    </xf>
    <xf numFmtId="0" fontId="11" fillId="37" borderId="74" xfId="0" applyFont="1" applyFill="1" applyBorder="1" applyAlignment="1" applyProtection="1">
      <alignment horizontal="center" vertical="center"/>
      <protection/>
    </xf>
    <xf numFmtId="0" fontId="4" fillId="37" borderId="92" xfId="0" applyFont="1" applyFill="1" applyBorder="1" applyAlignment="1" applyProtection="1">
      <alignment horizontal="left"/>
      <protection/>
    </xf>
    <xf numFmtId="0" fontId="4" fillId="37" borderId="67" xfId="0" applyFont="1" applyFill="1" applyBorder="1" applyAlignment="1" applyProtection="1">
      <alignment horizontal="left"/>
      <protection/>
    </xf>
    <xf numFmtId="0" fontId="4" fillId="37" borderId="68" xfId="0" applyFont="1" applyFill="1" applyBorder="1" applyAlignment="1" applyProtection="1">
      <alignment horizontal="left"/>
      <protection/>
    </xf>
    <xf numFmtId="0" fontId="4" fillId="37" borderId="92" xfId="0" applyFont="1" applyFill="1" applyBorder="1" applyAlignment="1" applyProtection="1">
      <alignment horizontal="center"/>
      <protection/>
    </xf>
    <xf numFmtId="0" fontId="4" fillId="37" borderId="67" xfId="0" applyFont="1" applyFill="1" applyBorder="1" applyAlignment="1" applyProtection="1">
      <alignment horizontal="center"/>
      <protection/>
    </xf>
    <xf numFmtId="0" fontId="4" fillId="37" borderId="68" xfId="0" applyFont="1" applyFill="1" applyBorder="1" applyAlignment="1" applyProtection="1">
      <alignment horizontal="center"/>
      <protection/>
    </xf>
    <xf numFmtId="0" fontId="11" fillId="37" borderId="92" xfId="0" applyFont="1" applyFill="1" applyBorder="1" applyAlignment="1" applyProtection="1">
      <alignment horizontal="center"/>
      <protection/>
    </xf>
    <xf numFmtId="0" fontId="11" fillId="37" borderId="67" xfId="0" applyFont="1" applyFill="1" applyBorder="1" applyAlignment="1" applyProtection="1">
      <alignment horizontal="center"/>
      <protection/>
    </xf>
    <xf numFmtId="0" fontId="11" fillId="37" borderId="68" xfId="0" applyFont="1" applyFill="1" applyBorder="1" applyAlignment="1" applyProtection="1">
      <alignment horizontal="center"/>
      <protection/>
    </xf>
    <xf numFmtId="0" fontId="11" fillId="37" borderId="40" xfId="0" applyFont="1" applyFill="1" applyBorder="1" applyAlignment="1" applyProtection="1">
      <alignment horizontal="center"/>
      <protection/>
    </xf>
    <xf numFmtId="0" fontId="11" fillId="37" borderId="74" xfId="0" applyFont="1" applyFill="1" applyBorder="1" applyAlignment="1" applyProtection="1">
      <alignment horizontal="center"/>
      <protection/>
    </xf>
    <xf numFmtId="0" fontId="4" fillId="37" borderId="91" xfId="0" applyFont="1" applyFill="1" applyBorder="1" applyAlignment="1" applyProtection="1">
      <alignment horizontal="left"/>
      <protection/>
    </xf>
    <xf numFmtId="0" fontId="4" fillId="37" borderId="40" xfId="0" applyFont="1" applyFill="1" applyBorder="1" applyAlignment="1" applyProtection="1">
      <alignment horizontal="left"/>
      <protection/>
    </xf>
    <xf numFmtId="0" fontId="4" fillId="37" borderId="74" xfId="0" applyFont="1" applyFill="1" applyBorder="1" applyAlignment="1" applyProtection="1">
      <alignment horizontal="left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91" xfId="0" applyFont="1" applyFill="1" applyBorder="1" applyAlignment="1" applyProtection="1">
      <alignment horizontal="center"/>
      <protection/>
    </xf>
    <xf numFmtId="0" fontId="4" fillId="37" borderId="40" xfId="0" applyFont="1" applyFill="1" applyBorder="1" applyAlignment="1" applyProtection="1">
      <alignment horizontal="center"/>
      <protection/>
    </xf>
    <xf numFmtId="0" fontId="4" fillId="37" borderId="74" xfId="0" applyFont="1" applyFill="1" applyBorder="1" applyAlignment="1" applyProtection="1">
      <alignment horizontal="center"/>
      <protection/>
    </xf>
    <xf numFmtId="0" fontId="11" fillId="35" borderId="41" xfId="0" applyFont="1" applyFill="1" applyBorder="1" applyAlignment="1" applyProtection="1">
      <alignment horizontal="center" vertical="center"/>
      <protection locked="0"/>
    </xf>
    <xf numFmtId="0" fontId="11" fillId="35" borderId="41" xfId="0" applyFont="1" applyFill="1" applyBorder="1" applyAlignment="1" applyProtection="1">
      <alignment horizontal="left"/>
      <protection locked="0"/>
    </xf>
    <xf numFmtId="4" fontId="11" fillId="35" borderId="42" xfId="0" applyNumberFormat="1" applyFont="1" applyFill="1" applyBorder="1" applyAlignment="1" applyProtection="1">
      <alignment horizontal="center" vertical="center"/>
      <protection locked="0"/>
    </xf>
    <xf numFmtId="4" fontId="11" fillId="35" borderId="35" xfId="0" applyNumberFormat="1" applyFont="1" applyFill="1" applyBorder="1" applyAlignment="1" applyProtection="1">
      <alignment horizontal="center" vertical="center"/>
      <protection locked="0"/>
    </xf>
    <xf numFmtId="4" fontId="11" fillId="35" borderId="90" xfId="0" applyNumberFormat="1" applyFont="1" applyFill="1" applyBorder="1" applyAlignment="1" applyProtection="1">
      <alignment horizontal="center" vertical="center"/>
      <protection locked="0"/>
    </xf>
    <xf numFmtId="43" fontId="4" fillId="35" borderId="42" xfId="57" applyFont="1" applyFill="1" applyBorder="1" applyAlignment="1" applyProtection="1">
      <alignment horizontal="center" vertical="center"/>
      <protection locked="0"/>
    </xf>
    <xf numFmtId="43" fontId="4" fillId="35" borderId="35" xfId="57" applyFont="1" applyFill="1" applyBorder="1" applyAlignment="1" applyProtection="1">
      <alignment horizontal="center" vertical="center"/>
      <protection locked="0"/>
    </xf>
    <xf numFmtId="43" fontId="4" fillId="35" borderId="90" xfId="57" applyFont="1" applyFill="1" applyBorder="1" applyAlignment="1" applyProtection="1">
      <alignment horizontal="center" vertical="center"/>
      <protection locked="0"/>
    </xf>
    <xf numFmtId="43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10" fontId="11" fillId="35" borderId="42" xfId="53" applyNumberFormat="1" applyFont="1" applyFill="1" applyBorder="1" applyAlignment="1" applyProtection="1">
      <alignment horizontal="center" vertical="center"/>
      <protection locked="0"/>
    </xf>
    <xf numFmtId="10" fontId="11" fillId="35" borderId="35" xfId="53" applyNumberFormat="1" applyFont="1" applyFill="1" applyBorder="1" applyAlignment="1" applyProtection="1">
      <alignment horizontal="center" vertical="center"/>
      <protection locked="0"/>
    </xf>
    <xf numFmtId="10" fontId="11" fillId="35" borderId="90" xfId="53" applyNumberFormat="1" applyFont="1" applyFill="1" applyBorder="1" applyAlignment="1" applyProtection="1">
      <alignment horizontal="center" vertical="center"/>
      <protection locked="0"/>
    </xf>
    <xf numFmtId="10" fontId="11" fillId="35" borderId="41" xfId="53" applyNumberFormat="1" applyFont="1" applyFill="1" applyBorder="1" applyAlignment="1" applyProtection="1">
      <alignment horizontal="center" vertical="center"/>
      <protection locked="0"/>
    </xf>
    <xf numFmtId="10" fontId="11" fillId="0" borderId="41" xfId="53" applyNumberFormat="1" applyFont="1" applyFill="1" applyBorder="1" applyAlignment="1" applyProtection="1">
      <alignment horizontal="center" vertical="center"/>
      <protection/>
    </xf>
    <xf numFmtId="43" fontId="4" fillId="0" borderId="41" xfId="57" applyFont="1" applyFill="1" applyBorder="1" applyAlignment="1" applyProtection="1">
      <alignment horizontal="center" vertical="center"/>
      <protection/>
    </xf>
    <xf numFmtId="0" fontId="6" fillId="35" borderId="41" xfId="0" applyFont="1" applyFill="1" applyBorder="1" applyAlignment="1" applyProtection="1">
      <alignment horizontal="center" vertical="center"/>
      <protection locked="0"/>
    </xf>
    <xf numFmtId="0" fontId="6" fillId="35" borderId="41" xfId="0" applyFont="1" applyFill="1" applyBorder="1" applyAlignment="1" applyProtection="1">
      <alignment horizontal="left" vertical="justify"/>
      <protection locked="0"/>
    </xf>
    <xf numFmtId="0" fontId="6" fillId="35" borderId="42" xfId="0" applyFont="1" applyFill="1" applyBorder="1" applyAlignment="1" applyProtection="1">
      <alignment horizontal="center" vertical="center"/>
      <protection locked="0"/>
    </xf>
    <xf numFmtId="0" fontId="6" fillId="35" borderId="90" xfId="0" applyFont="1" applyFill="1" applyBorder="1" applyAlignment="1" applyProtection="1">
      <alignment horizontal="center" vertical="center"/>
      <protection locked="0"/>
    </xf>
    <xf numFmtId="4" fontId="6" fillId="35" borderId="42" xfId="0" applyNumberFormat="1" applyFont="1" applyFill="1" applyBorder="1" applyAlignment="1" applyProtection="1">
      <alignment horizontal="center" vertical="center"/>
      <protection locked="0"/>
    </xf>
    <xf numFmtId="4" fontId="6" fillId="35" borderId="35" xfId="0" applyNumberFormat="1" applyFont="1" applyFill="1" applyBorder="1" applyAlignment="1" applyProtection="1">
      <alignment horizontal="center" vertical="center"/>
      <protection locked="0"/>
    </xf>
    <xf numFmtId="4" fontId="6" fillId="35" borderId="90" xfId="0" applyNumberFormat="1" applyFont="1" applyFill="1" applyBorder="1" applyAlignment="1" applyProtection="1">
      <alignment horizontal="center" vertical="center"/>
      <protection locked="0"/>
    </xf>
    <xf numFmtId="43" fontId="6" fillId="35" borderId="42" xfId="57" applyFont="1" applyFill="1" applyBorder="1" applyAlignment="1" applyProtection="1">
      <alignment horizontal="center" vertical="center"/>
      <protection locked="0"/>
    </xf>
    <xf numFmtId="43" fontId="6" fillId="35" borderId="35" xfId="57" applyFont="1" applyFill="1" applyBorder="1" applyAlignment="1" applyProtection="1">
      <alignment horizontal="center" vertical="center"/>
      <protection locked="0"/>
    </xf>
    <xf numFmtId="43" fontId="6" fillId="35" borderId="90" xfId="57" applyFont="1" applyFill="1" applyBorder="1" applyAlignment="1" applyProtection="1">
      <alignment horizontal="center" vertical="center"/>
      <protection locked="0"/>
    </xf>
    <xf numFmtId="43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10" fontId="6" fillId="35" borderId="42" xfId="53" applyNumberFormat="1" applyFont="1" applyFill="1" applyBorder="1" applyAlignment="1" applyProtection="1">
      <alignment horizontal="center" vertical="center"/>
      <protection locked="0"/>
    </xf>
    <xf numFmtId="10" fontId="6" fillId="35" borderId="35" xfId="53" applyNumberFormat="1" applyFont="1" applyFill="1" applyBorder="1" applyAlignment="1" applyProtection="1">
      <alignment horizontal="center" vertical="center"/>
      <protection locked="0"/>
    </xf>
    <xf numFmtId="10" fontId="6" fillId="35" borderId="90" xfId="53" applyNumberFormat="1" applyFont="1" applyFill="1" applyBorder="1" applyAlignment="1" applyProtection="1">
      <alignment horizontal="center" vertical="center"/>
      <protection locked="0"/>
    </xf>
    <xf numFmtId="10" fontId="6" fillId="35" borderId="41" xfId="53" applyNumberFormat="1" applyFont="1" applyFill="1" applyBorder="1" applyAlignment="1" applyProtection="1">
      <alignment horizontal="center" vertical="center"/>
      <protection locked="0"/>
    </xf>
    <xf numFmtId="10" fontId="6" fillId="0" borderId="41" xfId="53" applyNumberFormat="1" applyFont="1" applyFill="1" applyBorder="1" applyAlignment="1" applyProtection="1">
      <alignment horizontal="center" vertical="center"/>
      <protection/>
    </xf>
    <xf numFmtId="43" fontId="6" fillId="0" borderId="41" xfId="57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 locked="0"/>
    </xf>
    <xf numFmtId="0" fontId="4" fillId="35" borderId="41" xfId="0" applyFont="1" applyFill="1" applyBorder="1" applyAlignment="1" applyProtection="1">
      <alignment horizontal="left" vertical="justify"/>
      <protection locked="0"/>
    </xf>
    <xf numFmtId="2" fontId="4" fillId="35" borderId="42" xfId="0" applyNumberFormat="1" applyFont="1" applyFill="1" applyBorder="1" applyAlignment="1" applyProtection="1">
      <alignment horizontal="center" vertical="center"/>
      <protection locked="0"/>
    </xf>
    <xf numFmtId="0" fontId="4" fillId="35" borderId="90" xfId="0" applyFont="1" applyFill="1" applyBorder="1" applyAlignment="1" applyProtection="1">
      <alignment horizontal="center" vertical="center"/>
      <protection locked="0"/>
    </xf>
    <xf numFmtId="4" fontId="4" fillId="35" borderId="42" xfId="0" applyNumberFormat="1" applyFont="1" applyFill="1" applyBorder="1" applyAlignment="1" applyProtection="1">
      <alignment horizontal="center" vertical="center"/>
      <protection locked="0"/>
    </xf>
    <xf numFmtId="4" fontId="4" fillId="35" borderId="35" xfId="0" applyNumberFormat="1" applyFont="1" applyFill="1" applyBorder="1" applyAlignment="1" applyProtection="1">
      <alignment horizontal="center" vertical="center"/>
      <protection locked="0"/>
    </xf>
    <xf numFmtId="4" fontId="4" fillId="35" borderId="90" xfId="0" applyNumberFormat="1" applyFont="1" applyFill="1" applyBorder="1" applyAlignment="1" applyProtection="1">
      <alignment horizontal="center" vertical="center"/>
      <protection locked="0"/>
    </xf>
    <xf numFmtId="10" fontId="4" fillId="35" borderId="42" xfId="53" applyNumberFormat="1" applyFont="1" applyFill="1" applyBorder="1" applyAlignment="1" applyProtection="1">
      <alignment horizontal="center" vertical="center"/>
      <protection locked="0"/>
    </xf>
    <xf numFmtId="10" fontId="4" fillId="35" borderId="35" xfId="53" applyNumberFormat="1" applyFont="1" applyFill="1" applyBorder="1" applyAlignment="1" applyProtection="1">
      <alignment horizontal="center" vertical="center"/>
      <protection locked="0"/>
    </xf>
    <xf numFmtId="10" fontId="4" fillId="35" borderId="90" xfId="53" applyNumberFormat="1" applyFont="1" applyFill="1" applyBorder="1" applyAlignment="1" applyProtection="1">
      <alignment horizontal="center" vertical="center"/>
      <protection locked="0"/>
    </xf>
    <xf numFmtId="10" fontId="4" fillId="35" borderId="41" xfId="53" applyNumberFormat="1" applyFont="1" applyFill="1" applyBorder="1" applyAlignment="1" applyProtection="1">
      <alignment horizontal="center" vertical="center"/>
      <protection locked="0"/>
    </xf>
    <xf numFmtId="10" fontId="4" fillId="0" borderId="41" xfId="53" applyNumberFormat="1" applyFont="1" applyFill="1" applyBorder="1" applyAlignment="1" applyProtection="1">
      <alignment horizontal="center" vertical="center"/>
      <protection/>
    </xf>
    <xf numFmtId="2" fontId="6" fillId="35" borderId="42" xfId="0" applyNumberFormat="1" applyFont="1" applyFill="1" applyBorder="1" applyAlignment="1" applyProtection="1">
      <alignment horizontal="center" vertical="center"/>
      <protection locked="0"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1" fillId="35" borderId="41" xfId="0" applyFont="1" applyFill="1" applyBorder="1" applyAlignment="1" applyProtection="1">
      <alignment horizontal="left" vertical="justify"/>
      <protection locked="0"/>
    </xf>
    <xf numFmtId="2" fontId="1" fillId="35" borderId="42" xfId="0" applyNumberFormat="1" applyFont="1" applyFill="1" applyBorder="1" applyAlignment="1" applyProtection="1">
      <alignment horizontal="center" vertical="center"/>
      <protection locked="0"/>
    </xf>
    <xf numFmtId="0" fontId="1" fillId="35" borderId="90" xfId="0" applyFont="1" applyFill="1" applyBorder="1" applyAlignment="1" applyProtection="1">
      <alignment horizontal="center" vertical="center"/>
      <protection locked="0"/>
    </xf>
    <xf numFmtId="4" fontId="1" fillId="35" borderId="42" xfId="0" applyNumberFormat="1" applyFont="1" applyFill="1" applyBorder="1" applyAlignment="1" applyProtection="1">
      <alignment horizontal="center" vertical="center"/>
      <protection locked="0"/>
    </xf>
    <xf numFmtId="4" fontId="1" fillId="35" borderId="35" xfId="0" applyNumberFormat="1" applyFont="1" applyFill="1" applyBorder="1" applyAlignment="1" applyProtection="1">
      <alignment horizontal="center" vertical="center"/>
      <protection locked="0"/>
    </xf>
    <xf numFmtId="4" fontId="1" fillId="35" borderId="90" xfId="0" applyNumberFormat="1" applyFont="1" applyFill="1" applyBorder="1" applyAlignment="1" applyProtection="1">
      <alignment horizontal="center" vertical="center"/>
      <protection locked="0"/>
    </xf>
    <xf numFmtId="43" fontId="1" fillId="35" borderId="42" xfId="57" applyFont="1" applyFill="1" applyBorder="1" applyAlignment="1" applyProtection="1">
      <alignment horizontal="center" vertical="center"/>
      <protection locked="0"/>
    </xf>
    <xf numFmtId="43" fontId="1" fillId="35" borderId="35" xfId="57" applyFont="1" applyFill="1" applyBorder="1" applyAlignment="1" applyProtection="1">
      <alignment horizontal="center" vertical="center"/>
      <protection locked="0"/>
    </xf>
    <xf numFmtId="43" fontId="1" fillId="35" borderId="90" xfId="57" applyFont="1" applyFill="1" applyBorder="1" applyAlignment="1" applyProtection="1">
      <alignment horizontal="center" vertical="center"/>
      <protection locked="0"/>
    </xf>
    <xf numFmtId="43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10" fontId="1" fillId="35" borderId="42" xfId="53" applyNumberFormat="1" applyFont="1" applyFill="1" applyBorder="1" applyAlignment="1" applyProtection="1">
      <alignment horizontal="center" vertical="center"/>
      <protection locked="0"/>
    </xf>
    <xf numFmtId="10" fontId="1" fillId="35" borderId="35" xfId="53" applyNumberFormat="1" applyFont="1" applyFill="1" applyBorder="1" applyAlignment="1" applyProtection="1">
      <alignment horizontal="center" vertical="center"/>
      <protection locked="0"/>
    </xf>
    <xf numFmtId="10" fontId="1" fillId="35" borderId="90" xfId="53" applyNumberFormat="1" applyFont="1" applyFill="1" applyBorder="1" applyAlignment="1" applyProtection="1">
      <alignment horizontal="center" vertical="center"/>
      <protection locked="0"/>
    </xf>
    <xf numFmtId="10" fontId="1" fillId="35" borderId="41" xfId="53" applyNumberFormat="1" applyFont="1" applyFill="1" applyBorder="1" applyAlignment="1" applyProtection="1">
      <alignment horizontal="center" vertical="center"/>
      <protection locked="0"/>
    </xf>
    <xf numFmtId="10" fontId="1" fillId="0" borderId="41" xfId="53" applyNumberFormat="1" applyFont="1" applyFill="1" applyBorder="1" applyAlignment="1" applyProtection="1">
      <alignment horizontal="center" vertical="center"/>
      <protection/>
    </xf>
    <xf numFmtId="43" fontId="1" fillId="0" borderId="41" xfId="57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 locked="0"/>
    </xf>
    <xf numFmtId="0" fontId="11" fillId="35" borderId="41" xfId="0" applyFont="1" applyFill="1" applyBorder="1" applyAlignment="1" applyProtection="1">
      <alignment horizontal="center"/>
      <protection locked="0"/>
    </xf>
    <xf numFmtId="0" fontId="11" fillId="37" borderId="41" xfId="0" applyFont="1" applyFill="1" applyBorder="1" applyAlignment="1" applyProtection="1">
      <alignment horizontal="center"/>
      <protection/>
    </xf>
    <xf numFmtId="0" fontId="12" fillId="37" borderId="35" xfId="0" applyFont="1" applyFill="1" applyBorder="1" applyAlignment="1" applyProtection="1">
      <alignment horizontal="right"/>
      <protection/>
    </xf>
    <xf numFmtId="43" fontId="4" fillId="37" borderId="90" xfId="57" applyFont="1" applyFill="1" applyBorder="1" applyAlignment="1" applyProtection="1">
      <alignment horizontal="right"/>
      <protection/>
    </xf>
    <xf numFmtId="43" fontId="4" fillId="37" borderId="41" xfId="57" applyFont="1" applyFill="1" applyBorder="1" applyAlignment="1" applyProtection="1">
      <alignment horizontal="right"/>
      <protection/>
    </xf>
    <xf numFmtId="43" fontId="4" fillId="37" borderId="42" xfId="57" applyFont="1" applyFill="1" applyBorder="1" applyAlignment="1" applyProtection="1">
      <alignment horizontal="right"/>
      <protection/>
    </xf>
    <xf numFmtId="0" fontId="11" fillId="37" borderId="90" xfId="0" applyNumberFormat="1" applyFont="1" applyFill="1" applyBorder="1" applyAlignment="1" applyProtection="1">
      <alignment horizontal="center"/>
      <protection/>
    </xf>
    <xf numFmtId="0" fontId="11" fillId="37" borderId="41" xfId="0" applyNumberFormat="1" applyFont="1" applyFill="1" applyBorder="1" applyAlignment="1" applyProtection="1">
      <alignment horizontal="center"/>
      <protection/>
    </xf>
    <xf numFmtId="43" fontId="4" fillId="0" borderId="42" xfId="57" applyFont="1" applyFill="1" applyBorder="1" applyAlignment="1" applyProtection="1">
      <alignment horizontal="center"/>
      <protection/>
    </xf>
    <xf numFmtId="43" fontId="4" fillId="0" borderId="35" xfId="57" applyFont="1" applyFill="1" applyBorder="1" applyAlignment="1" applyProtection="1">
      <alignment horizontal="center"/>
      <protection/>
    </xf>
    <xf numFmtId="43" fontId="4" fillId="0" borderId="90" xfId="57" applyFont="1" applyFill="1" applyBorder="1" applyAlignment="1" applyProtection="1">
      <alignment horizontal="center"/>
      <protection/>
    </xf>
    <xf numFmtId="10" fontId="4" fillId="0" borderId="42" xfId="53" applyNumberFormat="1" applyFont="1" applyFill="1" applyBorder="1" applyAlignment="1" applyProtection="1">
      <alignment horizontal="center"/>
      <protection/>
    </xf>
    <xf numFmtId="10" fontId="4" fillId="0" borderId="35" xfId="53" applyNumberFormat="1" applyFont="1" applyFill="1" applyBorder="1" applyAlignment="1" applyProtection="1">
      <alignment horizontal="center"/>
      <protection/>
    </xf>
    <xf numFmtId="10" fontId="4" fillId="0" borderId="90" xfId="53" applyNumberFormat="1" applyFont="1" applyFill="1" applyBorder="1" applyAlignment="1" applyProtection="1">
      <alignment horizontal="center"/>
      <protection/>
    </xf>
    <xf numFmtId="10" fontId="6" fillId="0" borderId="42" xfId="53" applyNumberFormat="1" applyFont="1" applyFill="1" applyBorder="1" applyAlignment="1" applyProtection="1">
      <alignment horizontal="center"/>
      <protection/>
    </xf>
    <xf numFmtId="10" fontId="6" fillId="0" borderId="35" xfId="53" applyNumberFormat="1" applyFont="1" applyFill="1" applyBorder="1" applyAlignment="1" applyProtection="1">
      <alignment horizontal="center"/>
      <protection/>
    </xf>
    <xf numFmtId="10" fontId="6" fillId="0" borderId="90" xfId="53" applyNumberFormat="1" applyFont="1" applyFill="1" applyBorder="1" applyAlignment="1" applyProtection="1">
      <alignment horizontal="center"/>
      <protection/>
    </xf>
    <xf numFmtId="43" fontId="4" fillId="0" borderId="41" xfId="57" applyNumberFormat="1" applyFont="1" applyFill="1" applyBorder="1" applyAlignment="1" applyProtection="1">
      <alignment horizontal="center"/>
      <protection/>
    </xf>
    <xf numFmtId="43" fontId="4" fillId="0" borderId="41" xfId="57" applyFont="1" applyFill="1" applyBorder="1" applyAlignment="1" applyProtection="1">
      <alignment horizontal="center"/>
      <protection/>
    </xf>
    <xf numFmtId="43" fontId="4" fillId="0" borderId="42" xfId="0" applyNumberFormat="1" applyFont="1" applyFill="1" applyBorder="1" applyAlignment="1" applyProtection="1">
      <alignment horizontal="center"/>
      <protection/>
    </xf>
    <xf numFmtId="43" fontId="4" fillId="0" borderId="35" xfId="0" applyNumberFormat="1" applyFont="1" applyFill="1" applyBorder="1" applyAlignment="1" applyProtection="1">
      <alignment horizontal="center"/>
      <protection/>
    </xf>
    <xf numFmtId="43" fontId="4" fillId="0" borderId="90" xfId="0" applyNumberFormat="1" applyFont="1" applyFill="1" applyBorder="1" applyAlignment="1" applyProtection="1">
      <alignment horizontal="center"/>
      <protection/>
    </xf>
    <xf numFmtId="10" fontId="12" fillId="35" borderId="42" xfId="53" applyNumberFormat="1" applyFont="1" applyFill="1" applyBorder="1" applyAlignment="1" applyProtection="1">
      <alignment horizontal="center"/>
      <protection locked="0"/>
    </xf>
    <xf numFmtId="10" fontId="12" fillId="35" borderId="35" xfId="53" applyNumberFormat="1" applyFont="1" applyFill="1" applyBorder="1" applyAlignment="1" applyProtection="1">
      <alignment horizontal="center"/>
      <protection locked="0"/>
    </xf>
    <xf numFmtId="0" fontId="12" fillId="40" borderId="0" xfId="0" applyFont="1" applyFill="1" applyAlignment="1" applyProtection="1">
      <alignment horizontal="left"/>
      <protection locked="0"/>
    </xf>
    <xf numFmtId="0" fontId="5" fillId="35" borderId="27" xfId="0" applyFont="1" applyFill="1" applyBorder="1" applyAlignment="1" applyProtection="1">
      <alignment horizontal="left" vertical="top" wrapText="1"/>
      <protection locked="0"/>
    </xf>
    <xf numFmtId="0" fontId="5" fillId="35" borderId="0" xfId="0" applyFont="1" applyFill="1" applyBorder="1" applyAlignment="1" applyProtection="1">
      <alignment horizontal="left" vertical="top" wrapText="1"/>
      <protection locked="0"/>
    </xf>
    <xf numFmtId="0" fontId="5" fillId="35" borderId="28" xfId="0" applyFont="1" applyFill="1" applyBorder="1" applyAlignment="1" applyProtection="1">
      <alignment horizontal="left" vertical="top" wrapText="1"/>
      <protection locked="0"/>
    </xf>
    <xf numFmtId="0" fontId="5" fillId="35" borderId="91" xfId="0" applyFont="1" applyFill="1" applyBorder="1" applyAlignment="1" applyProtection="1">
      <alignment horizontal="left" vertical="top" wrapText="1"/>
      <protection locked="0"/>
    </xf>
    <xf numFmtId="0" fontId="5" fillId="35" borderId="40" xfId="0" applyFont="1" applyFill="1" applyBorder="1" applyAlignment="1" applyProtection="1">
      <alignment horizontal="left" vertical="top" wrapText="1"/>
      <protection locked="0"/>
    </xf>
    <xf numFmtId="0" fontId="5" fillId="35" borderId="74" xfId="0" applyFont="1" applyFill="1" applyBorder="1" applyAlignment="1" applyProtection="1">
      <alignment horizontal="left" vertical="top" wrapText="1"/>
      <protection locked="0"/>
    </xf>
    <xf numFmtId="0" fontId="11" fillId="0" borderId="92" xfId="0" applyFont="1" applyBorder="1" applyAlignment="1" applyProtection="1">
      <alignment horizontal="left" vertical="center" wrapText="1"/>
      <protection/>
    </xf>
    <xf numFmtId="0" fontId="11" fillId="0" borderId="67" xfId="0" applyFont="1" applyBorder="1" applyAlignment="1" applyProtection="1">
      <alignment horizontal="left" vertical="center" wrapText="1"/>
      <protection/>
    </xf>
    <xf numFmtId="0" fontId="11" fillId="0" borderId="68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/>
    </xf>
    <xf numFmtId="0" fontId="11" fillId="0" borderId="91" xfId="0" applyFont="1" applyBorder="1" applyAlignment="1" applyProtection="1">
      <alignment horizontal="left" vertical="center" wrapText="1"/>
      <protection/>
    </xf>
    <xf numFmtId="0" fontId="11" fillId="0" borderId="40" xfId="0" applyFont="1" applyBorder="1" applyAlignment="1" applyProtection="1">
      <alignment horizontal="left" vertical="center" wrapText="1"/>
      <protection/>
    </xf>
    <xf numFmtId="0" fontId="11" fillId="0" borderId="74" xfId="0" applyFont="1" applyBorder="1" applyAlignment="1" applyProtection="1">
      <alignment horizontal="left" vertical="center" wrapText="1"/>
      <protection/>
    </xf>
    <xf numFmtId="0" fontId="10" fillId="0" borderId="4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4" fillId="38" borderId="46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/>
    </xf>
    <xf numFmtId="0" fontId="0" fillId="38" borderId="76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4" fillId="41" borderId="46" xfId="0" applyFont="1" applyFill="1" applyBorder="1" applyAlignment="1">
      <alignment horizontal="center" vertical="center" wrapText="1"/>
    </xf>
    <xf numFmtId="0" fontId="0" fillId="41" borderId="34" xfId="0" applyFont="1" applyFill="1" applyBorder="1" applyAlignment="1">
      <alignment horizontal="center"/>
    </xf>
    <xf numFmtId="0" fontId="0" fillId="41" borderId="76" xfId="0" applyFont="1" applyFill="1" applyBorder="1" applyAlignment="1">
      <alignment horizontal="center"/>
    </xf>
    <xf numFmtId="171" fontId="9" fillId="41" borderId="46" xfId="0" applyNumberFormat="1" applyFont="1" applyFill="1" applyBorder="1" applyAlignment="1">
      <alignment vertical="center"/>
    </xf>
    <xf numFmtId="171" fontId="9" fillId="41" borderId="34" xfId="0" applyNumberFormat="1" applyFont="1" applyFill="1" applyBorder="1" applyAlignment="1">
      <alignment vertical="center"/>
    </xf>
    <xf numFmtId="171" fontId="9" fillId="41" borderId="76" xfId="0" applyNumberFormat="1" applyFont="1" applyFill="1" applyBorder="1" applyAlignment="1">
      <alignment vertical="center"/>
    </xf>
    <xf numFmtId="0" fontId="9" fillId="39" borderId="46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0" fontId="9" fillId="39" borderId="7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justify"/>
    </xf>
    <xf numFmtId="0" fontId="0" fillId="33" borderId="82" xfId="0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0" fontId="0" fillId="33" borderId="8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89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89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9" fillId="33" borderId="72" xfId="0" applyFont="1" applyFill="1" applyBorder="1" applyAlignment="1">
      <alignment horizontal="left" vertical="justify"/>
    </xf>
    <xf numFmtId="0" fontId="9" fillId="33" borderId="37" xfId="0" applyFont="1" applyFill="1" applyBorder="1" applyAlignment="1">
      <alignment horizontal="left" vertical="justify"/>
    </xf>
    <xf numFmtId="0" fontId="9" fillId="33" borderId="38" xfId="0" applyFont="1" applyFill="1" applyBorder="1" applyAlignment="1">
      <alignment horizontal="left" vertical="justify"/>
    </xf>
    <xf numFmtId="0" fontId="0" fillId="33" borderId="13" xfId="0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left" vertical="justify"/>
    </xf>
    <xf numFmtId="0" fontId="9" fillId="33" borderId="60" xfId="0" applyFont="1" applyFill="1" applyBorder="1" applyAlignment="1">
      <alignment horizontal="left" vertical="justify"/>
    </xf>
    <xf numFmtId="0" fontId="9" fillId="33" borderId="110" xfId="0" applyFont="1" applyFill="1" applyBorder="1" applyAlignment="1">
      <alignment horizontal="left" vertical="justify"/>
    </xf>
    <xf numFmtId="49" fontId="0" fillId="33" borderId="64" xfId="0" applyNumberForma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76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left" vertical="center"/>
    </xf>
    <xf numFmtId="0" fontId="9" fillId="33" borderId="60" xfId="0" applyFont="1" applyFill="1" applyBorder="1" applyAlignment="1">
      <alignment horizontal="left" vertical="center"/>
    </xf>
    <xf numFmtId="0" fontId="9" fillId="33" borderId="61" xfId="0" applyFont="1" applyFill="1" applyBorder="1" applyAlignment="1">
      <alignment horizontal="left" vertical="center"/>
    </xf>
    <xf numFmtId="0" fontId="9" fillId="33" borderId="65" xfId="0" applyFont="1" applyFill="1" applyBorder="1" applyAlignment="1">
      <alignment horizontal="left" vertical="justify"/>
    </xf>
    <xf numFmtId="0" fontId="9" fillId="33" borderId="111" xfId="0" applyFont="1" applyFill="1" applyBorder="1" applyAlignment="1">
      <alignment horizontal="left" vertical="justify"/>
    </xf>
    <xf numFmtId="0" fontId="0" fillId="33" borderId="64" xfId="0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left" vertical="center"/>
    </xf>
    <xf numFmtId="0" fontId="9" fillId="33" borderId="110" xfId="0" applyFont="1" applyFill="1" applyBorder="1" applyAlignment="1">
      <alignment horizontal="left" vertical="center"/>
    </xf>
    <xf numFmtId="0" fontId="9" fillId="33" borderId="64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1" fillId="0" borderId="67" xfId="0" applyFont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33" borderId="112" xfId="0" applyFill="1" applyBorder="1" applyAlignment="1">
      <alignment horizontal="center" vertical="center" wrapText="1"/>
    </xf>
    <xf numFmtId="0" fontId="0" fillId="33" borderId="113" xfId="0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43" fontId="48" fillId="0" borderId="101" xfId="55" applyFont="1" applyBorder="1" applyAlignment="1">
      <alignment horizontal="center" vertical="center"/>
    </xf>
    <xf numFmtId="43" fontId="48" fillId="0" borderId="102" xfId="55" applyFont="1" applyBorder="1" applyAlignment="1">
      <alignment horizontal="center" vertical="center"/>
    </xf>
    <xf numFmtId="43" fontId="48" fillId="0" borderId="67" xfId="55" applyFont="1" applyBorder="1" applyAlignment="1">
      <alignment horizontal="right" vertical="center"/>
    </xf>
    <xf numFmtId="43" fontId="48" fillId="0" borderId="40" xfId="55" applyFont="1" applyBorder="1" applyAlignment="1">
      <alignment horizontal="right" vertical="center"/>
    </xf>
    <xf numFmtId="43" fontId="48" fillId="0" borderId="70" xfId="55" applyFont="1" applyBorder="1" applyAlignment="1">
      <alignment horizontal="right" vertical="center"/>
    </xf>
    <xf numFmtId="43" fontId="48" fillId="0" borderId="69" xfId="55" applyFont="1" applyBorder="1" applyAlignment="1">
      <alignment horizontal="right" vertical="center"/>
    </xf>
    <xf numFmtId="0" fontId="47" fillId="0" borderId="13" xfId="0" applyFont="1" applyFill="1" applyBorder="1" applyAlignment="1">
      <alignment horizontal="left" vertical="justify"/>
    </xf>
    <xf numFmtId="0" fontId="47" fillId="0" borderId="0" xfId="0" applyFont="1" applyFill="1" applyBorder="1" applyAlignment="1">
      <alignment horizontal="left" vertical="justify"/>
    </xf>
    <xf numFmtId="0" fontId="47" fillId="0" borderId="14" xfId="0" applyFont="1" applyFill="1" applyBorder="1" applyAlignment="1">
      <alignment horizontal="left" vertical="justify"/>
    </xf>
    <xf numFmtId="0" fontId="47" fillId="0" borderId="13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8" fillId="34" borderId="73" xfId="0" applyFont="1" applyFill="1" applyBorder="1" applyAlignment="1">
      <alignment horizontal="center" vertical="center"/>
    </xf>
    <xf numFmtId="0" fontId="48" fillId="34" borderId="6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3" fontId="55" fillId="0" borderId="13" xfId="0" applyNumberFormat="1" applyFont="1" applyBorder="1" applyAlignment="1">
      <alignment horizontal="center"/>
    </xf>
    <xf numFmtId="43" fontId="55" fillId="0" borderId="0" xfId="0" applyNumberFormat="1" applyFont="1" applyBorder="1" applyAlignment="1">
      <alignment horizontal="center"/>
    </xf>
    <xf numFmtId="43" fontId="55" fillId="0" borderId="14" xfId="0" applyNumberFormat="1" applyFont="1" applyBorder="1" applyAlignment="1">
      <alignment horizontal="center"/>
    </xf>
    <xf numFmtId="43" fontId="48" fillId="0" borderId="92" xfId="55" applyFont="1" applyBorder="1" applyAlignment="1">
      <alignment horizontal="center" vertical="center"/>
    </xf>
    <xf numFmtId="43" fontId="48" fillId="0" borderId="91" xfId="55" applyFont="1" applyBorder="1" applyAlignment="1">
      <alignment horizontal="center" vertical="center"/>
    </xf>
    <xf numFmtId="43" fontId="48" fillId="0" borderId="70" xfId="55" applyFont="1" applyBorder="1" applyAlignment="1">
      <alignment horizontal="center" vertical="center"/>
    </xf>
    <xf numFmtId="43" fontId="48" fillId="0" borderId="69" xfId="55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2" fontId="48" fillId="0" borderId="67" xfId="0" applyNumberFormat="1" applyFont="1" applyBorder="1" applyAlignment="1">
      <alignment horizontal="center" vertical="center"/>
    </xf>
    <xf numFmtId="2" fontId="48" fillId="0" borderId="40" xfId="0" applyNumberFormat="1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2"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123825</xdr:rowOff>
    </xdr:from>
    <xdr:to>
      <xdr:col>11</xdr:col>
      <xdr:colOff>200025</xdr:colOff>
      <xdr:row>4</xdr:row>
      <xdr:rowOff>123825</xdr:rowOff>
    </xdr:to>
    <xdr:sp>
      <xdr:nvSpPr>
        <xdr:cNvPr id="1" name="Line 2366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85725</xdr:rowOff>
    </xdr:from>
    <xdr:to>
      <xdr:col>1</xdr:col>
      <xdr:colOff>419100</xdr:colOff>
      <xdr:row>4</xdr:row>
      <xdr:rowOff>57150</xdr:rowOff>
    </xdr:to>
    <xdr:pic>
      <xdr:nvPicPr>
        <xdr:cNvPr id="2" name="Picture 2367" descr="TI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123825</xdr:rowOff>
    </xdr:from>
    <xdr:to>
      <xdr:col>11</xdr:col>
      <xdr:colOff>200025</xdr:colOff>
      <xdr:row>4</xdr:row>
      <xdr:rowOff>123825</xdr:rowOff>
    </xdr:to>
    <xdr:sp>
      <xdr:nvSpPr>
        <xdr:cNvPr id="1" name="Line 2366"/>
        <xdr:cNvSpPr>
          <a:spLocks/>
        </xdr:cNvSpPr>
      </xdr:nvSpPr>
      <xdr:spPr>
        <a:xfrm>
          <a:off x="647700" y="866775"/>
          <a:ext cx="69627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PMSTL_2018-2019\MINIST&#201;RIO%20DAS%20CIDADES\SICONV%20MC_027548-2015_AV.%20INTENDENTE%20TOM&#201;%20MENDES%20PEIXOTO\EXECU&#199;&#195;O\MEDI&#199;&#213;ES\BM%20N&#186;02%20CAIXA%20+%20RRE%20N&#186;05\BM%20N&#186;05%20+%20BM%20N&#186;02_CAI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INICIAL"/>
      <sheetName val="QCI INICIAL"/>
      <sheetName val="QCI LICITAÇÃO"/>
      <sheetName val="PLANILHA CONTRATO"/>
      <sheetName val="BM Nº01"/>
      <sheetName val="MEMÓRIA BM Nº1"/>
      <sheetName val="BM Nº02"/>
      <sheetName val="BM Nº03 + BM Nº01_CAIXA"/>
      <sheetName val="BM Nº04"/>
      <sheetName val="BM Nº05 + Nº02_CAIXA"/>
      <sheetName val="Plan1"/>
    </sheetNames>
    <sheetDataSet>
      <sheetData sheetId="0">
        <row r="52">
          <cell r="I52">
            <v>0.6827405844460851</v>
          </cell>
          <cell r="J52">
            <v>0.8659848186161747</v>
          </cell>
        </row>
      </sheetData>
      <sheetData sheetId="2">
        <row r="46">
          <cell r="H46">
            <v>570087.8586000002</v>
          </cell>
        </row>
      </sheetData>
      <sheetData sheetId="3">
        <row r="28">
          <cell r="A28">
            <v>1</v>
          </cell>
          <cell r="C28" t="str">
            <v>INSTALAÇÕES INICIAIS</v>
          </cell>
        </row>
        <row r="29">
          <cell r="A29" t="str">
            <v>1.1</v>
          </cell>
          <cell r="C29" t="str">
            <v>PLACA DE OBRA EM CHAPA DE ACO GALVANIZADO</v>
          </cell>
          <cell r="D29" t="str">
            <v>M2</v>
          </cell>
          <cell r="E29">
            <v>2.5</v>
          </cell>
          <cell r="G29">
            <v>373.53</v>
          </cell>
        </row>
        <row r="31">
          <cell r="A31">
            <v>2</v>
          </cell>
          <cell r="C31" t="str">
            <v>DRENAGEM PLUVIAL</v>
          </cell>
        </row>
        <row r="32">
          <cell r="A32" t="str">
            <v>2.1</v>
          </cell>
          <cell r="C32" t="str">
            <v>ESCAVACAO DE VALA NAO ESCORADA EM MATERIAL 1A CATEGORIA , PROFUNDIDADE ATE 1,5 M COM ESCAVADEIRA HIDRAULICA 105 HP (CAPACIDADE DE 0,78M3), SEM ESGOTAMENTO</v>
          </cell>
          <cell r="D32" t="str">
            <v>M3</v>
          </cell>
          <cell r="E32">
            <v>719.28</v>
          </cell>
          <cell r="G32">
            <v>3.97</v>
          </cell>
        </row>
        <row r="33">
          <cell r="A33" t="str">
            <v>2.2</v>
          </cell>
          <cell r="C33" t="str">
            <v>APILOAMENTO COM MACO DE 30KG</v>
          </cell>
          <cell r="D33" t="str">
            <v>M2</v>
          </cell>
          <cell r="E33">
            <v>462</v>
          </cell>
          <cell r="G33">
            <v>20.64</v>
          </cell>
        </row>
        <row r="34">
          <cell r="A34" t="str">
            <v>2.3</v>
          </cell>
          <cell r="C34" t="str">
            <v>FORNECIMENTO, ASSENTAMENTO E REJUNTAMENTO COM ARGAMASSA 1:3 DE TUBO DE CONCRETO SIMPLES, CLASSE- PS1, PB, DN 300 MM, PARA AGUAS PLUVIAIS (NBR8890)</v>
          </cell>
          <cell r="D34" t="str">
            <v>M</v>
          </cell>
          <cell r="E34">
            <v>258</v>
          </cell>
          <cell r="G34">
            <v>79.24</v>
          </cell>
        </row>
        <row r="35">
          <cell r="A35" t="str">
            <v>2.4</v>
          </cell>
          <cell r="C35" t="str">
            <v>TUBO DE CONCRETO PARA REDES COLETORAS DE ÁGUAS PLUVIAIS, DIÂMETRO DE 400 MM, JUNTA RÍGIDA, INSTALADO EM LOCAL COM BAIXO NÍVEL DE INTERFERÊNCIAS - FORNECIMENTO E ASSENTAMENTO. AF_12/2015</v>
          </cell>
          <cell r="D35" t="str">
            <v>M</v>
          </cell>
          <cell r="E35">
            <v>466</v>
          </cell>
          <cell r="G35">
            <v>101.55</v>
          </cell>
        </row>
        <row r="36">
          <cell r="A36" t="str">
            <v>2.5</v>
          </cell>
          <cell r="C36" t="str">
            <v>TUBO DE CONCRETO PARA REDES COLETORAS DE ÁGUAS PLUVIAIS, DIÂMETRO DE 600 MM, JUNTA RÍGIDA, INSTALADO EM LOCAL COM BAIXO NÍVEL DE INTERFERÊNCIAS - FORNECIMENTO E ASSENTAMENTO. AF_12/2015</v>
          </cell>
          <cell r="D36" t="str">
            <v>M</v>
          </cell>
          <cell r="E36">
            <v>46</v>
          </cell>
          <cell r="G36">
            <v>166.01</v>
          </cell>
        </row>
        <row r="37">
          <cell r="A37" t="str">
            <v>2.6</v>
          </cell>
          <cell r="C37" t="str">
            <v>REATERRO E COMPACTACAO MECANICO DE VALA COM COMPACTADOR MANUAL TIPO SOQUETE VIBRATORIO</v>
          </cell>
          <cell r="D37" t="str">
            <v>M3</v>
          </cell>
          <cell r="E37">
            <v>629.52</v>
          </cell>
          <cell r="G37">
            <v>27.53</v>
          </cell>
        </row>
        <row r="38">
          <cell r="A38" t="str">
            <v>2.7</v>
          </cell>
          <cell r="C38" t="str">
            <v>BOCA DE LOBO EM ALVENARIA TIJOLO MACICO, REVESTIDA C/ ARGAMASSA DE CIMENTO E AREIA 1:3, SOBRE LASTRO DE CONCRETO 10CM E TAMPA DE CONCRETO ARMADO</v>
          </cell>
          <cell r="D38" t="str">
            <v>UNID.</v>
          </cell>
          <cell r="E38">
            <v>36</v>
          </cell>
          <cell r="G38">
            <v>713.81</v>
          </cell>
        </row>
        <row r="39">
          <cell r="A39" t="str">
            <v>2.8</v>
          </cell>
          <cell r="C39" t="str">
            <v>POCO DE VISITA EM ALVENARIA, PARA REDE D=0,40 M, PARTE FIXA C/ 1,00 M DE ALTURA</v>
          </cell>
          <cell r="D39" t="str">
            <v>UNID.</v>
          </cell>
          <cell r="E39">
            <v>10</v>
          </cell>
          <cell r="G39">
            <v>1171.16</v>
          </cell>
        </row>
        <row r="40">
          <cell r="A40" t="str">
            <v>2.9</v>
          </cell>
          <cell r="C40" t="str">
            <v>POCO DE VISITA EM ALVENARIA, PARA REDE D=0,60 M, PARTE FIXA C/ 1,00 M DE ALTURA</v>
          </cell>
          <cell r="D40" t="str">
            <v>UNID.</v>
          </cell>
          <cell r="E40">
            <v>4</v>
          </cell>
          <cell r="G40">
            <v>1459.17</v>
          </cell>
        </row>
        <row r="41">
          <cell r="A41" t="str">
            <v>2.10</v>
          </cell>
          <cell r="C41" t="str">
            <v>TAMPAO DE FERRO FUNDIDO, D = 60CM, 175KG, P = CHAMINE CX AREIA/POCO VISITA ASSENTADO COM ARG CIM/AREIA 1:4, FORNECIMENTO E ASSENTAMENTO</v>
          </cell>
          <cell r="D41" t="str">
            <v>UNID.</v>
          </cell>
          <cell r="E41">
            <v>14</v>
          </cell>
          <cell r="G41">
            <v>427.49</v>
          </cell>
        </row>
        <row r="42">
          <cell r="A42" t="str">
            <v>2.11</v>
          </cell>
          <cell r="C42" t="str">
            <v>MEIO-FIO DE CONCRETO PRE-MOLDADO 12 X 30 CM, SOBRE BASE DE CONCRETO SIMPLES E REJUNTADO COM ARGAMASSA TRACO 1:3 (CIMENTO E AREIA)</v>
          </cell>
          <cell r="D42" t="str">
            <v>M</v>
          </cell>
          <cell r="E42">
            <v>30</v>
          </cell>
          <cell r="G42">
            <v>32.93</v>
          </cell>
        </row>
        <row r="43">
          <cell r="A43" t="str">
            <v>2.12</v>
          </cell>
          <cell r="C43" t="str">
            <v>SARJETA EM CONCRETO, PREPARO MANUAL, COM SEIXO ROLADO, ESPESSURA = 8CM, LARGURA = 40CM</v>
          </cell>
          <cell r="D43" t="str">
            <v>M</v>
          </cell>
          <cell r="E43">
            <v>840.5</v>
          </cell>
          <cell r="G43">
            <v>43.2</v>
          </cell>
        </row>
        <row r="45">
          <cell r="A45">
            <v>3</v>
          </cell>
          <cell r="C45" t="str">
            <v>PAVIMENTAÇÃO EM CBUQ</v>
          </cell>
        </row>
        <row r="46">
          <cell r="A46" t="str">
            <v>3.1</v>
          </cell>
          <cell r="C46" t="str">
            <v>ESCAVACAO E CARGA MATERIAL 1A CATEGORIA, UTILIZANDO TRATOR DE ESTEIRAS DE 110 A 160HP COM LAMINA, PESO OPERACIONAL * 13T E PA CARREGADEIRA COM 170 HP (DEMOLIÇÃO DE ASFALTO E REMOÇÃO DE BASE PARA SUBSTITUIÇÃO).</v>
          </cell>
          <cell r="D46" t="str">
            <v>M3</v>
          </cell>
          <cell r="E46">
            <v>2092.91</v>
          </cell>
          <cell r="G46">
            <v>3.65</v>
          </cell>
        </row>
        <row r="47">
          <cell r="A47" t="str">
            <v>3.2</v>
          </cell>
          <cell r="C47" t="str">
            <v>DEMOLIÇÃO DE PAVIMENTAÇÃO ASFÁLTICA COM UTILIZAÇÃO DE MARTELO PERFURADOR, ESPESSURA ATÉ 15 CM, EXCLUSIVE CARGA E TRANSPORTE</v>
          </cell>
          <cell r="D47" t="str">
            <v>M2</v>
          </cell>
          <cell r="E47">
            <v>54.67</v>
          </cell>
          <cell r="G47">
            <v>10.5</v>
          </cell>
        </row>
        <row r="48">
          <cell r="A48" t="str">
            <v>3.3</v>
          </cell>
          <cell r="C48" t="str">
            <v>CARGA, MANOBRAS E DESCARGA DE AREIA, BRITA, PEDRA DE MAO E SOLOS COM CAMINHAO BASCULANTE 6 M3 (DESCARGA LIVRE)</v>
          </cell>
          <cell r="D48" t="str">
            <v>M3</v>
          </cell>
          <cell r="E48">
            <v>2106.58</v>
          </cell>
          <cell r="G48">
            <v>1.04</v>
          </cell>
        </row>
        <row r="49">
          <cell r="A49" t="str">
            <v>3.4</v>
          </cell>
          <cell r="C49" t="str">
            <v>TRANSPORTE DE PAVIMENTACAO REMOVIDA (RODOVIAS NAO URBANAS)</v>
          </cell>
          <cell r="D49" t="str">
            <v>M3XKM</v>
          </cell>
          <cell r="E49">
            <v>3159.87</v>
          </cell>
          <cell r="G49">
            <v>1.49</v>
          </cell>
        </row>
        <row r="50">
          <cell r="A50" t="str">
            <v>3.5</v>
          </cell>
          <cell r="C50" t="str">
            <v>REGULARIZACAO E COMPACTACAO DE SUBLEITO ATE 20 CM DE ESPESSURA</v>
          </cell>
          <cell r="D50" t="str">
            <v>M2</v>
          </cell>
          <cell r="E50">
            <v>8426.32</v>
          </cell>
          <cell r="G50">
            <v>1.31</v>
          </cell>
        </row>
        <row r="51">
          <cell r="A51" t="str">
            <v>3.6</v>
          </cell>
          <cell r="C51" t="str">
            <v>ESCAVACAO E CARGA MATERIAL 1A CATEGORIA, UTILIZANDO TRATOR DE ESTEIRAS DE 110 A 160HP COM LAMINA, PESO OPERACIONAL * 13T E PA CARREGADEIRA
COM 170 HP (EXECUÇÃO DE BASE).</v>
          </cell>
          <cell r="D51" t="str">
            <v>M3</v>
          </cell>
          <cell r="E51">
            <v>1685.26</v>
          </cell>
          <cell r="G51">
            <v>3.65</v>
          </cell>
        </row>
        <row r="52">
          <cell r="A52" t="str">
            <v>3.7</v>
          </cell>
          <cell r="C52" t="str">
            <v>TRANSPORTE COMERCIAL COM CAMINHAO BASCULANTE 6 M3, RODOVIA EM LEITO NATURAL (EXECUÇÃO DE BASE)</v>
          </cell>
          <cell r="D52" t="str">
            <v>TXKM</v>
          </cell>
          <cell r="E52">
            <v>10516.05</v>
          </cell>
          <cell r="G52">
            <v>0.99</v>
          </cell>
        </row>
        <row r="53">
          <cell r="A53" t="str">
            <v>3.8</v>
          </cell>
          <cell r="C53" t="str">
            <v>BASE DE SOLO ESTABILIZADO SEM MISTURA, COMPACTACAO 100% PROCTOR NORMAL, EXCLUSIVE ESCAVACAO, CARGA E TRANSPORTE DO SOLO</v>
          </cell>
          <cell r="D53" t="str">
            <v>M3</v>
          </cell>
          <cell r="E53">
            <v>1685.26</v>
          </cell>
          <cell r="G53">
            <v>10.07</v>
          </cell>
        </row>
        <row r="54">
          <cell r="A54" t="str">
            <v>3.9</v>
          </cell>
          <cell r="C54" t="str">
            <v>TRANSPORTE COMERCIAL COM CAMINHAO BASCULANTE 6 M3, RODOVIA PAVIMENTADA (CM-30)</v>
          </cell>
          <cell r="D54" t="str">
            <v>TXKM</v>
          </cell>
          <cell r="E54">
            <v>700.93</v>
          </cell>
          <cell r="G54">
            <v>0.67</v>
          </cell>
        </row>
        <row r="55">
          <cell r="A55" t="str">
            <v>3.10</v>
          </cell>
          <cell r="C55" t="str">
            <v>IMPRIMACAO DE BASE DE PAVIMENTACAO COM EMULSAO CM-30</v>
          </cell>
          <cell r="D55" t="str">
            <v>M2</v>
          </cell>
          <cell r="E55">
            <v>8090.12</v>
          </cell>
          <cell r="G55">
            <v>5.08</v>
          </cell>
        </row>
        <row r="56">
          <cell r="A56" t="str">
            <v>3.11</v>
          </cell>
          <cell r="C56" t="str">
            <v>TRANSPORTE COMERCIAL COM CAMINHAO CARROCERIA 9 T, RODOVIA PAVIMENTADA</v>
          </cell>
          <cell r="D56" t="str">
            <v>TXKM</v>
          </cell>
          <cell r="E56">
            <v>56074.25</v>
          </cell>
          <cell r="G56">
            <v>0.51</v>
          </cell>
        </row>
        <row r="57">
          <cell r="A57" t="str">
            <v>3.12</v>
          </cell>
          <cell r="C57" t="str">
            <v> FABRICAÇÃO E APLICAÇÃO DE CONCRETO BETUMINOSO USINADO A QUENTE (CBUQ), CAP 50/70, EXCLUSIVE TRANSPORTE</v>
          </cell>
          <cell r="D57" t="str">
            <v>T</v>
          </cell>
          <cell r="E57">
            <v>776.65</v>
          </cell>
          <cell r="G57">
            <v>238.08</v>
          </cell>
        </row>
        <row r="59">
          <cell r="A59">
            <v>4</v>
          </cell>
          <cell r="C59" t="str">
            <v>URBANIZAÇÃO E OBRAS COMPLEMENTARES</v>
          </cell>
        </row>
        <row r="60">
          <cell r="A60" t="str">
            <v>4.1</v>
          </cell>
          <cell r="C60" t="str">
            <v>ATERRO APILOADO(MANUAL) EM CAMADAS DE 20 CM COM MATERIAL DE EMPRÉSTIMO</v>
          </cell>
          <cell r="D60" t="str">
            <v>M3</v>
          </cell>
          <cell r="E60">
            <v>101.51</v>
          </cell>
          <cell r="G60">
            <v>107.2</v>
          </cell>
        </row>
        <row r="61">
          <cell r="A61" t="str">
            <v>4.2</v>
          </cell>
          <cell r="C61" t="str">
            <v>PASSEIO EM CONCRETO DESEMPENADO, TRACO 1:2,5:3,5, ESPESSURA 5CM, INCLUSIVE RAMPA PARA PORTADORES DE NECESSIDADES ESPECIAIS</v>
          </cell>
          <cell r="D61" t="str">
            <v>M2</v>
          </cell>
          <cell r="E61">
            <v>676.74</v>
          </cell>
          <cell r="G61">
            <v>57.27</v>
          </cell>
        </row>
        <row r="62">
          <cell r="A62" t="str">
            <v>4.3</v>
          </cell>
          <cell r="C62" t="str">
            <v>Piso de alerta em placas marmorizadas vibro-prensadas, Tecnogran ou similar, com acabamento rustico, na cor cinza, inclusive contrapiso com espessura de 3cm. Fornecimento e colocacao.</v>
          </cell>
          <cell r="D62" t="str">
            <v>M2</v>
          </cell>
          <cell r="E62">
            <v>11.71</v>
          </cell>
          <cell r="G62">
            <v>152.55</v>
          </cell>
        </row>
        <row r="64">
          <cell r="A64">
            <v>5</v>
          </cell>
          <cell r="C64" t="str">
            <v>SINALIZAÇÃO URBANA</v>
          </cell>
        </row>
        <row r="65">
          <cell r="A65" t="str">
            <v>5.1</v>
          </cell>
          <cell r="C65" t="str">
            <v>PINTURA DE SINALIZAÇÃO DE FAIXA DE PEDESTRES COM TERMOPLÁLTICO - 3 ANOS (P/ASPERSÃO)</v>
          </cell>
          <cell r="D65" t="str">
            <v>M2</v>
          </cell>
          <cell r="E65">
            <v>105.6</v>
          </cell>
          <cell r="G65">
            <v>32.08</v>
          </cell>
        </row>
        <row r="66">
          <cell r="A66" t="str">
            <v>5.2</v>
          </cell>
          <cell r="C66" t="str">
            <v>PINTURA DE SINALIZAÇÃO DE FAIXA DE RETENÇÃO COM TERMOPLÁLTICO - 3 ANOS (P/ASPERSÃO)</v>
          </cell>
          <cell r="D66" t="str">
            <v>M2</v>
          </cell>
          <cell r="E66">
            <v>6.84</v>
          </cell>
          <cell r="G66">
            <v>32.08</v>
          </cell>
        </row>
        <row r="67">
          <cell r="A67" t="str">
            <v>5.3</v>
          </cell>
          <cell r="C67" t="str">
            <v>FORNECIMENTO E INSTALAÇÃO DE PLACA DE  SINALIZAÇÃO SEMI-REFLETIVA</v>
          </cell>
          <cell r="D67" t="str">
            <v>M2</v>
          </cell>
          <cell r="E67">
            <v>6.48</v>
          </cell>
          <cell r="G67">
            <v>272.73</v>
          </cell>
        </row>
        <row r="68">
          <cell r="A68" t="str">
            <v>5.4</v>
          </cell>
          <cell r="C68" t="str">
            <v>CONFECÇÃO E IMPLANTAÇÃO DE SUPORTE E TRAVESSA PARA PLACA DE SINALIZAÇÃO</v>
          </cell>
          <cell r="D68" t="str">
            <v>UNID.</v>
          </cell>
          <cell r="E68">
            <v>21</v>
          </cell>
          <cell r="G68">
            <v>77.95</v>
          </cell>
        </row>
        <row r="69">
          <cell r="A69" t="str">
            <v>5.5</v>
          </cell>
          <cell r="C69" t="str">
            <v>PINTURA ACRILICA EM PISO CIMENTADO DUAS DEMAOS</v>
          </cell>
          <cell r="D69" t="str">
            <v>M2</v>
          </cell>
          <cell r="E69">
            <v>10.8</v>
          </cell>
          <cell r="G69">
            <v>11.72</v>
          </cell>
        </row>
        <row r="70">
          <cell r="A70" t="str">
            <v>5.6</v>
          </cell>
          <cell r="C70" t="str">
            <v>PLACA ESMALTADA PARA IDENTIFICAÇÃO NR DE RUA, DIMENSÕES 45X25CM</v>
          </cell>
          <cell r="D70" t="str">
            <v>UNID.</v>
          </cell>
          <cell r="E70">
            <v>3</v>
          </cell>
          <cell r="G70">
            <v>101.07</v>
          </cell>
        </row>
        <row r="72">
          <cell r="A72">
            <v>6</v>
          </cell>
          <cell r="C72" t="str">
            <v>INTENVERÇÃO NOS CANTEIROS CENTRAIS</v>
          </cell>
        </row>
        <row r="73">
          <cell r="A73" t="str">
            <v>6.1</v>
          </cell>
          <cell r="C73" t="str">
            <v>DEMOLICAO DE ALVENARIA DE ELEMENTOS CERAMICOS VAZADOS</v>
          </cell>
          <cell r="D73" t="str">
            <v>M3</v>
          </cell>
          <cell r="E73">
            <v>1.08</v>
          </cell>
          <cell r="G73">
            <v>34.39</v>
          </cell>
        </row>
        <row r="74">
          <cell r="A74" t="str">
            <v>6.2</v>
          </cell>
          <cell r="C74" t="str">
            <v>ESCAVAÇÃO MECANIZADA DE VALA COM PROFUNDIDADE ATÉ 1,5 M, COM RETROESCAVADEIRA (CAPACIDADE DA CAÇAMBA DA RETRO: 0,26 M3 / POTÊNCIA: 88 HP), LARGURA DE 0,8 M A 1,5 M, EM SOLO DE 1A CATEGORIA, EM VIAS URBANAS. AF_01/2015</v>
          </cell>
          <cell r="D74" t="str">
            <v>M3</v>
          </cell>
          <cell r="E74">
            <v>8.64</v>
          </cell>
          <cell r="G74">
            <v>13.85</v>
          </cell>
        </row>
        <row r="75">
          <cell r="A75" t="str">
            <v>6.3</v>
          </cell>
          <cell r="C75" t="str">
            <v>ALVENARIA DE VEDAÇÃO DE BLOCOS VAZADOS DE CONCRETO DE 19X19X39CM (ESPESSURA 19CM) DE PAREDES COM ÁREA LÍQUIDA MENOR QUE 6M² COM VÃOS E ARGAMASSA DE ASSENTAMENTO COM PREPARO EM BETONEIRA. AF_06/2014</v>
          </cell>
          <cell r="D75" t="str">
            <v>M2</v>
          </cell>
          <cell r="E75">
            <v>4.32</v>
          </cell>
          <cell r="G75">
            <v>72.19</v>
          </cell>
        </row>
        <row r="76">
          <cell r="A76" t="str">
            <v>6.4</v>
          </cell>
          <cell r="C76" t="str">
            <v>CHAPISCO APLICADO TANTO EM PILARES E VIGAS DE CONCRETO COMO EM ALVENARIAS DE PAREDES EXTERNAS, COM COLHER DE PEDREIRO.  ARGAMASSA TRAÇO 1:3 COM PREPARO MANUAL. AF_06/2014</v>
          </cell>
          <cell r="D76" t="str">
            <v>M2</v>
          </cell>
          <cell r="E76">
            <v>4.32</v>
          </cell>
          <cell r="G76">
            <v>3.34</v>
          </cell>
        </row>
        <row r="77">
          <cell r="A77" t="str">
            <v>6.5</v>
          </cell>
          <cell r="C77" t="str">
            <v>REVESTIMENTO DE PAREDE COM PEDRA SAO TOME 20X40CM, ASSENTAMENTO COM ARGAMASSA TRACO 1:2:2 (CIMENTO, SAIBRO E AREIA MEDIA NÃO PENEIRADA), PREPARO MANUAL DA ARGAMASSA</v>
          </cell>
          <cell r="D77" t="str">
            <v>M2</v>
          </cell>
          <cell r="E77">
            <v>4.32</v>
          </cell>
          <cell r="G77">
            <v>138.72</v>
          </cell>
        </row>
        <row r="78">
          <cell r="A78" t="str">
            <v>6.6</v>
          </cell>
          <cell r="C78" t="str">
            <v>REATERRO APILOADO EM CAMADAS 0,20M, UTILIZANDO MATERIAL ARGILO-ARENOSO ADQUIRIDO EM JAZIDA, JÁ CONSIDERANDO UM ACRÉSCIMO DE 25% NO VOLUME DO MATERIAL ADQUIRIDO, NÃO CONSIDERANDO O TRANSPORTE ATÉ O REATERRO</v>
          </cell>
          <cell r="D78" t="str">
            <v>M3</v>
          </cell>
          <cell r="E78">
            <v>8.64</v>
          </cell>
          <cell r="G78">
            <v>50.09</v>
          </cell>
        </row>
        <row r="80">
          <cell r="A80">
            <v>7</v>
          </cell>
          <cell r="C80" t="str">
            <v>LIMPEZA GERAL</v>
          </cell>
        </row>
        <row r="81">
          <cell r="A81" t="str">
            <v>7.1</v>
          </cell>
          <cell r="C81" t="str">
            <v>LIMPEZA DE SUPERFICIES COM JATO DE ALTA PRESSAO DE AR E AGUA</v>
          </cell>
          <cell r="D81" t="str">
            <v>M2</v>
          </cell>
          <cell r="E81">
            <v>9103.06</v>
          </cell>
          <cell r="G81">
            <v>0.26</v>
          </cell>
        </row>
      </sheetData>
      <sheetData sheetId="6">
        <row r="56">
          <cell r="AU56">
            <v>0</v>
          </cell>
        </row>
        <row r="59">
          <cell r="AU59">
            <v>0</v>
          </cell>
        </row>
        <row r="60">
          <cell r="AU60">
            <v>0</v>
          </cell>
        </row>
        <row r="61">
          <cell r="AU61">
            <v>0</v>
          </cell>
        </row>
        <row r="62">
          <cell r="AU62">
            <v>0</v>
          </cell>
        </row>
        <row r="63">
          <cell r="AU63">
            <v>0</v>
          </cell>
        </row>
        <row r="64">
          <cell r="AU64">
            <v>0</v>
          </cell>
        </row>
        <row r="69">
          <cell r="AU69">
            <v>0</v>
          </cell>
        </row>
        <row r="70">
          <cell r="AU70">
            <v>0</v>
          </cell>
        </row>
        <row r="71">
          <cell r="AU71">
            <v>0</v>
          </cell>
        </row>
        <row r="75">
          <cell r="AU75">
            <v>0</v>
          </cell>
        </row>
      </sheetData>
      <sheetData sheetId="7">
        <row r="23">
          <cell r="AU23">
            <v>1</v>
          </cell>
        </row>
        <row r="26">
          <cell r="AU26">
            <v>0.9102435769102436</v>
          </cell>
        </row>
        <row r="27">
          <cell r="AU27">
            <v>0.912987012987013</v>
          </cell>
        </row>
        <row r="28">
          <cell r="AU28">
            <v>0.8604651162790699</v>
          </cell>
        </row>
        <row r="29">
          <cell r="AU29">
            <v>0.9742489270386266</v>
          </cell>
        </row>
        <row r="30">
          <cell r="AU30">
            <v>0.5869565217391305</v>
          </cell>
        </row>
        <row r="31">
          <cell r="AU31">
            <v>0.9124094548227221</v>
          </cell>
        </row>
        <row r="32">
          <cell r="AU32">
            <v>0.41666666666666663</v>
          </cell>
        </row>
        <row r="33">
          <cell r="AU33">
            <v>0.5</v>
          </cell>
        </row>
        <row r="34">
          <cell r="AU34">
            <v>0.5</v>
          </cell>
        </row>
        <row r="35">
          <cell r="AU35">
            <v>0</v>
          </cell>
        </row>
        <row r="36">
          <cell r="AU36">
            <v>0</v>
          </cell>
        </row>
        <row r="37">
          <cell r="AU37">
            <v>0</v>
          </cell>
        </row>
        <row r="40">
          <cell r="AU40">
            <v>1</v>
          </cell>
        </row>
        <row r="41">
          <cell r="AU41">
            <v>1</v>
          </cell>
        </row>
        <row r="42">
          <cell r="AU42">
            <v>1</v>
          </cell>
        </row>
        <row r="43">
          <cell r="AU43">
            <v>1</v>
          </cell>
        </row>
        <row r="44">
          <cell r="AU44">
            <v>1</v>
          </cell>
        </row>
        <row r="45">
          <cell r="AU45">
            <v>1</v>
          </cell>
        </row>
        <row r="46">
          <cell r="AU46">
            <v>1</v>
          </cell>
        </row>
        <row r="47">
          <cell r="AU47">
            <v>1</v>
          </cell>
        </row>
        <row r="48">
          <cell r="AU48">
            <v>0.5393229</v>
          </cell>
        </row>
        <row r="49">
          <cell r="AU49">
            <v>0.5393229</v>
          </cell>
        </row>
        <row r="50">
          <cell r="AU50">
            <v>0.5393229</v>
          </cell>
        </row>
        <row r="51">
          <cell r="AU51">
            <v>0.5393229</v>
          </cell>
        </row>
        <row r="56">
          <cell r="AU56">
            <v>0</v>
          </cell>
        </row>
        <row r="59">
          <cell r="AU59">
            <v>0</v>
          </cell>
        </row>
        <row r="60">
          <cell r="AU60">
            <v>0</v>
          </cell>
        </row>
        <row r="61">
          <cell r="AU61">
            <v>0</v>
          </cell>
        </row>
        <row r="62">
          <cell r="AU62">
            <v>0</v>
          </cell>
        </row>
        <row r="63">
          <cell r="AU63">
            <v>0</v>
          </cell>
        </row>
        <row r="64">
          <cell r="AU64">
            <v>0</v>
          </cell>
        </row>
        <row r="67">
          <cell r="AU67">
            <v>1</v>
          </cell>
        </row>
        <row r="68">
          <cell r="AU68">
            <v>1</v>
          </cell>
        </row>
        <row r="69">
          <cell r="AU69">
            <v>0</v>
          </cell>
        </row>
        <row r="70">
          <cell r="AU70">
            <v>0</v>
          </cell>
        </row>
        <row r="71">
          <cell r="AU71">
            <v>0</v>
          </cell>
        </row>
        <row r="72">
          <cell r="AU72">
            <v>1</v>
          </cell>
        </row>
        <row r="75">
          <cell r="AU75">
            <v>0</v>
          </cell>
        </row>
      </sheetData>
      <sheetData sheetId="8">
        <row r="78">
          <cell r="BJ78">
            <v>396446.13000000006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P1">
      <selection activeCell="A4" sqref="A1:O16384"/>
    </sheetView>
  </sheetViews>
  <sheetFormatPr defaultColWidth="9.140625" defaultRowHeight="12.75"/>
  <cols>
    <col min="1" max="1" width="5.421875" style="0" hidden="1" customWidth="1"/>
    <col min="2" max="2" width="10.28125" style="0" hidden="1" customWidth="1"/>
    <col min="3" max="3" width="48.00390625" style="0" hidden="1" customWidth="1"/>
    <col min="4" max="4" width="6.140625" style="0" hidden="1" customWidth="1"/>
    <col min="5" max="5" width="9.140625" style="98" hidden="1" customWidth="1"/>
    <col min="6" max="7" width="12.28125" style="0" hidden="1" customWidth="1"/>
    <col min="8" max="8" width="12.28125" style="100" hidden="1" customWidth="1"/>
    <col min="9" max="9" width="12.28125" style="146" hidden="1" customWidth="1"/>
    <col min="10" max="10" width="14.140625" style="146" hidden="1" customWidth="1"/>
    <col min="11" max="11" width="9.140625" style="99" hidden="1" customWidth="1"/>
    <col min="12" max="12" width="13.28125" style="100" hidden="1" customWidth="1"/>
    <col min="13" max="13" width="9.140625" style="99" hidden="1" customWidth="1"/>
    <col min="14" max="15" width="14.28125" style="0" hidden="1" customWidth="1"/>
  </cols>
  <sheetData>
    <row r="1" spans="1:10" ht="3.75" customHeight="1">
      <c r="A1" s="681"/>
      <c r="B1" s="681"/>
      <c r="C1" s="681"/>
      <c r="D1" s="681"/>
      <c r="E1" s="681"/>
      <c r="F1" s="681"/>
      <c r="G1" s="681"/>
      <c r="H1" s="681"/>
      <c r="I1" s="140"/>
      <c r="J1" s="152"/>
    </row>
    <row r="2" spans="1:14" ht="19.5" customHeight="1">
      <c r="A2" s="682" t="s">
        <v>93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</row>
    <row r="3" spans="1:14" ht="18" customHeight="1">
      <c r="A3" s="683" t="s">
        <v>94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</row>
    <row r="4" spans="1:14" ht="39.75" customHeight="1">
      <c r="A4" s="102" t="s">
        <v>0</v>
      </c>
      <c r="B4" s="102" t="s">
        <v>3</v>
      </c>
      <c r="C4" s="102" t="s">
        <v>1</v>
      </c>
      <c r="D4" s="102" t="s">
        <v>95</v>
      </c>
      <c r="E4" s="147" t="s">
        <v>96</v>
      </c>
      <c r="F4" s="101" t="s">
        <v>97</v>
      </c>
      <c r="G4" s="101" t="s">
        <v>98</v>
      </c>
      <c r="H4" s="103" t="s">
        <v>8</v>
      </c>
      <c r="I4" s="141"/>
      <c r="J4" s="141" t="s">
        <v>99</v>
      </c>
      <c r="K4" s="685" t="s">
        <v>100</v>
      </c>
      <c r="L4" s="685"/>
      <c r="M4" s="685" t="s">
        <v>101</v>
      </c>
      <c r="N4" s="685"/>
    </row>
    <row r="5" spans="1:14" s="4" customFormat="1" ht="18" customHeight="1">
      <c r="A5" s="686"/>
      <c r="B5" s="687"/>
      <c r="C5" s="687"/>
      <c r="D5" s="687"/>
      <c r="E5" s="687"/>
      <c r="F5" s="687"/>
      <c r="G5" s="687"/>
      <c r="H5" s="687"/>
      <c r="I5" s="687"/>
      <c r="J5" s="687"/>
      <c r="K5" s="105" t="s">
        <v>102</v>
      </c>
      <c r="L5" s="104" t="s">
        <v>103</v>
      </c>
      <c r="M5" s="105" t="s">
        <v>102</v>
      </c>
      <c r="N5" s="104" t="s">
        <v>103</v>
      </c>
    </row>
    <row r="6" spans="1:14" s="4" customFormat="1" ht="18" customHeight="1">
      <c r="A6" s="106">
        <v>1</v>
      </c>
      <c r="B6" s="107" t="s">
        <v>104</v>
      </c>
      <c r="C6" s="108" t="s">
        <v>105</v>
      </c>
      <c r="D6" s="109"/>
      <c r="E6" s="148"/>
      <c r="F6" s="110"/>
      <c r="G6" s="110"/>
      <c r="H6" s="111"/>
      <c r="I6" s="142"/>
      <c r="J6" s="153"/>
      <c r="K6" s="112"/>
      <c r="L6" s="113"/>
      <c r="M6" s="112"/>
      <c r="N6" s="114"/>
    </row>
    <row r="7" spans="1:14" ht="12.75">
      <c r="A7" s="115" t="s">
        <v>55</v>
      </c>
      <c r="B7" s="116" t="s">
        <v>47</v>
      </c>
      <c r="C7" s="117" t="s">
        <v>106</v>
      </c>
      <c r="D7" s="109" t="s">
        <v>107</v>
      </c>
      <c r="E7" s="148">
        <v>4.5</v>
      </c>
      <c r="F7" s="110">
        <v>146.12</v>
      </c>
      <c r="G7" s="110">
        <f>F7+(F7*$H$2)</f>
        <v>146.12</v>
      </c>
      <c r="H7" s="111">
        <v>222.22</v>
      </c>
      <c r="I7" s="142">
        <f>J7/E7</f>
        <v>222.22222222222223</v>
      </c>
      <c r="J7" s="153">
        <v>1000</v>
      </c>
      <c r="K7" s="118">
        <v>4.5</v>
      </c>
      <c r="L7" s="119">
        <v>1000</v>
      </c>
      <c r="M7" s="120">
        <f>E7-K7</f>
        <v>0</v>
      </c>
      <c r="N7" s="119"/>
    </row>
    <row r="8" spans="1:14" ht="12.75">
      <c r="A8" s="115"/>
      <c r="B8" s="116"/>
      <c r="C8" s="117"/>
      <c r="D8" s="109"/>
      <c r="E8" s="148"/>
      <c r="F8" s="110"/>
      <c r="G8" s="110"/>
      <c r="H8" s="111"/>
      <c r="I8" s="142"/>
      <c r="J8" s="153"/>
      <c r="K8" s="120"/>
      <c r="L8" s="119"/>
      <c r="M8" s="120"/>
      <c r="N8" s="121"/>
    </row>
    <row r="9" spans="1:14" ht="18" customHeight="1">
      <c r="A9" s="115">
        <v>2</v>
      </c>
      <c r="B9" s="116"/>
      <c r="C9" s="108" t="s">
        <v>108</v>
      </c>
      <c r="D9" s="109"/>
      <c r="E9" s="148"/>
      <c r="F9" s="110"/>
      <c r="G9" s="110"/>
      <c r="H9" s="111"/>
      <c r="I9" s="142"/>
      <c r="J9" s="153"/>
      <c r="K9" s="120"/>
      <c r="L9" s="119"/>
      <c r="M9" s="120"/>
      <c r="N9" s="121"/>
    </row>
    <row r="10" spans="1:14" ht="44.25" customHeight="1">
      <c r="A10" s="115" t="s">
        <v>14</v>
      </c>
      <c r="B10" s="116" t="s">
        <v>87</v>
      </c>
      <c r="C10" s="117" t="s">
        <v>109</v>
      </c>
      <c r="D10" s="109" t="s">
        <v>110</v>
      </c>
      <c r="E10" s="148">
        <v>5</v>
      </c>
      <c r="F10" s="110">
        <v>569.77</v>
      </c>
      <c r="G10" s="110">
        <f>F10+(F10*$H$2)</f>
        <v>569.77</v>
      </c>
      <c r="H10" s="111">
        <v>866.37</v>
      </c>
      <c r="I10" s="142">
        <f aca="true" t="shared" si="0" ref="I10:I20">J10/E10</f>
        <v>866.4379999999999</v>
      </c>
      <c r="J10" s="153">
        <v>4332.19</v>
      </c>
      <c r="K10" s="120"/>
      <c r="L10" s="119">
        <f>K10*H10</f>
        <v>0</v>
      </c>
      <c r="M10" s="120">
        <f>E10-K10</f>
        <v>5</v>
      </c>
      <c r="N10" s="119">
        <f>J10-L10</f>
        <v>4332.19</v>
      </c>
    </row>
    <row r="11" spans="1:14" ht="36.75" customHeight="1">
      <c r="A11" s="115" t="s">
        <v>15</v>
      </c>
      <c r="B11" s="116" t="s">
        <v>111</v>
      </c>
      <c r="C11" s="117" t="s">
        <v>112</v>
      </c>
      <c r="D11" s="109" t="s">
        <v>113</v>
      </c>
      <c r="E11" s="148">
        <v>100</v>
      </c>
      <c r="F11" s="110">
        <v>30.01</v>
      </c>
      <c r="G11" s="110">
        <f>F11+(F11*$H$2)</f>
        <v>30.01</v>
      </c>
      <c r="H11" s="111">
        <v>60.18</v>
      </c>
      <c r="I11" s="142">
        <f t="shared" si="0"/>
        <v>60.18</v>
      </c>
      <c r="J11" s="153">
        <f>E11*H11</f>
        <v>6018</v>
      </c>
      <c r="K11" s="122"/>
      <c r="L11" s="119">
        <f>K11*H11</f>
        <v>0</v>
      </c>
      <c r="M11" s="120">
        <f>E11-K11</f>
        <v>100</v>
      </c>
      <c r="N11" s="119">
        <f>J11-L11</f>
        <v>6018</v>
      </c>
    </row>
    <row r="12" spans="1:14" ht="15" customHeight="1">
      <c r="A12" s="123"/>
      <c r="B12" s="124"/>
      <c r="C12" s="124"/>
      <c r="D12" s="124"/>
      <c r="E12" s="149"/>
      <c r="F12" s="124"/>
      <c r="G12" s="124"/>
      <c r="H12" s="125"/>
      <c r="I12" s="142"/>
      <c r="J12" s="153"/>
      <c r="K12" s="120"/>
      <c r="L12" s="119"/>
      <c r="M12" s="120"/>
      <c r="N12" s="119"/>
    </row>
    <row r="13" spans="1:14" ht="22.5" customHeight="1">
      <c r="A13" s="115">
        <v>3</v>
      </c>
      <c r="B13" s="115"/>
      <c r="C13" s="126" t="s">
        <v>114</v>
      </c>
      <c r="D13" s="109"/>
      <c r="E13" s="148"/>
      <c r="F13" s="110"/>
      <c r="G13" s="110"/>
      <c r="H13" s="111"/>
      <c r="I13" s="142"/>
      <c r="J13" s="153"/>
      <c r="K13" s="120"/>
      <c r="L13" s="119"/>
      <c r="M13" s="120"/>
      <c r="N13" s="119"/>
    </row>
    <row r="14" spans="1:15" ht="18" customHeight="1">
      <c r="A14" s="115" t="s">
        <v>24</v>
      </c>
      <c r="B14" s="116" t="s">
        <v>115</v>
      </c>
      <c r="C14" s="117" t="s">
        <v>116</v>
      </c>
      <c r="D14" s="109" t="s">
        <v>107</v>
      </c>
      <c r="E14" s="148">
        <v>4970</v>
      </c>
      <c r="F14" s="110">
        <v>1.11</v>
      </c>
      <c r="G14" s="110">
        <f>F14+(F14*$H$2)</f>
        <v>1.11</v>
      </c>
      <c r="H14" s="111">
        <v>1.7</v>
      </c>
      <c r="I14" s="142">
        <f t="shared" si="0"/>
        <v>1.703</v>
      </c>
      <c r="J14" s="153">
        <v>8463.91</v>
      </c>
      <c r="K14" s="120">
        <v>544.2</v>
      </c>
      <c r="L14" s="119">
        <v>926.8</v>
      </c>
      <c r="M14" s="120">
        <f>E14-K14</f>
        <v>4425.8</v>
      </c>
      <c r="N14" s="119">
        <f>J14-L14</f>
        <v>7537.11</v>
      </c>
      <c r="O14" s="100">
        <f>N14+L14</f>
        <v>8463.91</v>
      </c>
    </row>
    <row r="15" spans="1:15" ht="21" customHeight="1">
      <c r="A15" s="115" t="s">
        <v>58</v>
      </c>
      <c r="B15" s="115" t="s">
        <v>117</v>
      </c>
      <c r="C15" s="117" t="s">
        <v>118</v>
      </c>
      <c r="D15" s="109" t="s">
        <v>107</v>
      </c>
      <c r="E15" s="148">
        <v>4544</v>
      </c>
      <c r="F15" s="110">
        <v>37.96</v>
      </c>
      <c r="G15" s="110">
        <f>F15+(F15*$H$2)</f>
        <v>37.96</v>
      </c>
      <c r="H15" s="111">
        <v>46.81</v>
      </c>
      <c r="I15" s="142">
        <f t="shared" si="0"/>
        <v>46.800000000000004</v>
      </c>
      <c r="J15" s="153">
        <v>212659.2</v>
      </c>
      <c r="K15" s="120">
        <v>415</v>
      </c>
      <c r="L15" s="119">
        <v>23286.44</v>
      </c>
      <c r="M15" s="120">
        <f>E15-K15</f>
        <v>4129</v>
      </c>
      <c r="N15" s="119">
        <f>J15-L15</f>
        <v>189372.76</v>
      </c>
      <c r="O15" s="100">
        <f>L15+N15</f>
        <v>212659.2</v>
      </c>
    </row>
    <row r="16" spans="1:15" ht="55.5" customHeight="1">
      <c r="A16" s="115" t="s">
        <v>27</v>
      </c>
      <c r="B16" s="115" t="s">
        <v>119</v>
      </c>
      <c r="C16" s="127" t="s">
        <v>120</v>
      </c>
      <c r="D16" s="109" t="s">
        <v>113</v>
      </c>
      <c r="E16" s="148">
        <v>1400</v>
      </c>
      <c r="F16" s="110">
        <v>10.52</v>
      </c>
      <c r="G16" s="110">
        <f>F16+(F16*$H$2)</f>
        <v>10.52</v>
      </c>
      <c r="H16" s="111">
        <v>25.09</v>
      </c>
      <c r="I16" s="142">
        <f t="shared" si="0"/>
        <v>25.090335714285715</v>
      </c>
      <c r="J16" s="153">
        <v>35126.47</v>
      </c>
      <c r="K16" s="120">
        <v>45</v>
      </c>
      <c r="L16" s="119">
        <v>1124.05</v>
      </c>
      <c r="M16" s="120">
        <f>E16-K16</f>
        <v>1355</v>
      </c>
      <c r="N16" s="119">
        <f>J16-L16</f>
        <v>34002.42</v>
      </c>
      <c r="O16" s="100">
        <f>L16+N16</f>
        <v>35126.47</v>
      </c>
    </row>
    <row r="17" spans="1:14" ht="21" customHeight="1">
      <c r="A17" s="123"/>
      <c r="B17" s="124"/>
      <c r="C17" s="124"/>
      <c r="D17" s="124"/>
      <c r="E17" s="149"/>
      <c r="F17" s="124"/>
      <c r="G17" s="124"/>
      <c r="H17" s="125"/>
      <c r="I17" s="142"/>
      <c r="J17" s="153"/>
      <c r="K17" s="120"/>
      <c r="L17" s="119"/>
      <c r="M17" s="120"/>
      <c r="N17" s="119"/>
    </row>
    <row r="18" spans="1:14" ht="18" customHeight="1">
      <c r="A18" s="106">
        <v>4</v>
      </c>
      <c r="B18" s="107"/>
      <c r="C18" s="108" t="s">
        <v>121</v>
      </c>
      <c r="D18" s="109"/>
      <c r="E18" s="148"/>
      <c r="F18" s="110"/>
      <c r="G18" s="110">
        <f>F18+(F18*$H$2)</f>
        <v>0</v>
      </c>
      <c r="H18" s="111"/>
      <c r="I18" s="142"/>
      <c r="J18" s="153"/>
      <c r="K18" s="120"/>
      <c r="L18" s="119"/>
      <c r="M18" s="120"/>
      <c r="N18" s="119"/>
    </row>
    <row r="19" spans="1:14" ht="34.5" customHeight="1">
      <c r="A19" s="115" t="s">
        <v>25</v>
      </c>
      <c r="B19" s="116"/>
      <c r="C19" s="117" t="s">
        <v>122</v>
      </c>
      <c r="D19" s="109" t="s">
        <v>110</v>
      </c>
      <c r="E19" s="148">
        <v>4</v>
      </c>
      <c r="F19" s="110">
        <v>151.08</v>
      </c>
      <c r="G19" s="110">
        <f>F19+(F19*$H$2)</f>
        <v>151.08</v>
      </c>
      <c r="H19" s="111">
        <v>229.77</v>
      </c>
      <c r="I19" s="142">
        <f t="shared" si="0"/>
        <v>229.7675</v>
      </c>
      <c r="J19" s="153">
        <v>919.07</v>
      </c>
      <c r="K19" s="120"/>
      <c r="L19" s="119"/>
      <c r="M19" s="120">
        <f>E19-K19</f>
        <v>4</v>
      </c>
      <c r="N19" s="119">
        <f>J19-L19</f>
        <v>919.07</v>
      </c>
    </row>
    <row r="20" spans="1:14" s="4" customFormat="1" ht="36" customHeight="1">
      <c r="A20" s="115" t="s">
        <v>59</v>
      </c>
      <c r="B20" s="115"/>
      <c r="C20" s="117" t="s">
        <v>123</v>
      </c>
      <c r="D20" s="109" t="s">
        <v>110</v>
      </c>
      <c r="E20" s="148">
        <v>5</v>
      </c>
      <c r="F20" s="110">
        <v>171.26</v>
      </c>
      <c r="G20" s="110">
        <f>F20+(F20*$H$2)</f>
        <v>171.26</v>
      </c>
      <c r="H20" s="111">
        <v>260.46</v>
      </c>
      <c r="I20" s="142">
        <f t="shared" si="0"/>
        <v>260.46</v>
      </c>
      <c r="J20" s="153">
        <f>E20*H20</f>
        <v>1302.3</v>
      </c>
      <c r="K20" s="112"/>
      <c r="L20" s="113"/>
      <c r="M20" s="112">
        <f>E20-K20</f>
        <v>5</v>
      </c>
      <c r="N20" s="119">
        <f>J20-L20</f>
        <v>1302.3</v>
      </c>
    </row>
    <row r="21" spans="1:14" ht="12.75">
      <c r="A21" s="123"/>
      <c r="B21" s="124"/>
      <c r="C21" s="124"/>
      <c r="D21" s="124"/>
      <c r="E21" s="149"/>
      <c r="F21" s="124"/>
      <c r="G21" s="124"/>
      <c r="H21" s="125"/>
      <c r="I21" s="143"/>
      <c r="J21" s="153"/>
      <c r="K21" s="120"/>
      <c r="L21" s="119"/>
      <c r="M21" s="120"/>
      <c r="N21" s="119">
        <f>M21*H21</f>
        <v>0</v>
      </c>
    </row>
    <row r="22" spans="1:15" ht="16.5" customHeight="1">
      <c r="A22" s="128"/>
      <c r="B22" s="128"/>
      <c r="C22" s="128"/>
      <c r="D22" s="128"/>
      <c r="E22" s="150"/>
      <c r="F22" s="128"/>
      <c r="G22" s="128"/>
      <c r="H22" s="129"/>
      <c r="I22" s="144"/>
      <c r="J22" s="154">
        <f>SUM(J7:J21)</f>
        <v>269821.14</v>
      </c>
      <c r="L22" s="130">
        <f>SUM(L6:L21)</f>
        <v>26337.289999999997</v>
      </c>
      <c r="M22" s="131"/>
      <c r="N22" s="130">
        <f>N10+N11+N14+N15+N16+N19+N20</f>
        <v>243483.84999999998</v>
      </c>
      <c r="O22" s="100">
        <f>L22+N22</f>
        <v>269821.13999999996</v>
      </c>
    </row>
    <row r="23" spans="1:10" ht="12.75">
      <c r="A23" s="128"/>
      <c r="B23" s="128"/>
      <c r="C23" s="128"/>
      <c r="D23" s="128"/>
      <c r="E23" s="150"/>
      <c r="F23" s="128"/>
      <c r="G23" s="128"/>
      <c r="H23" s="129"/>
      <c r="I23" s="144"/>
      <c r="J23" s="144"/>
    </row>
    <row r="24" spans="1:14" ht="12" customHeight="1">
      <c r="A24" s="128"/>
      <c r="B24" s="128"/>
      <c r="C24" s="128"/>
      <c r="D24" s="128"/>
      <c r="E24" s="150"/>
      <c r="F24" s="128"/>
      <c r="G24" s="128"/>
      <c r="H24" s="129"/>
      <c r="I24" s="144"/>
      <c r="J24" s="144"/>
      <c r="N24" s="100"/>
    </row>
    <row r="25" spans="1:10" ht="11.25" customHeight="1">
      <c r="A25" s="132"/>
      <c r="B25" s="132"/>
      <c r="C25" s="132"/>
      <c r="D25" s="132"/>
      <c r="E25" s="151"/>
      <c r="F25" s="132"/>
      <c r="G25" s="132"/>
      <c r="H25" s="133"/>
      <c r="I25" s="145"/>
      <c r="J25" s="145"/>
    </row>
    <row r="26" ht="12.75">
      <c r="N26" s="100"/>
    </row>
  </sheetData>
  <sheetProtection password="D28B" sheet="1"/>
  <mergeCells count="6">
    <mergeCell ref="A1:H1"/>
    <mergeCell ref="A2:N2"/>
    <mergeCell ref="A3:N3"/>
    <mergeCell ref="K4:L4"/>
    <mergeCell ref="M4:N4"/>
    <mergeCell ref="A5:J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L1">
      <selection activeCell="A1" sqref="A1:K16384"/>
    </sheetView>
  </sheetViews>
  <sheetFormatPr defaultColWidth="9.140625" defaultRowHeight="12.75"/>
  <cols>
    <col min="1" max="1" width="5.421875" style="1" hidden="1" customWidth="1"/>
    <col min="2" max="2" width="11.57421875" style="1" hidden="1" customWidth="1"/>
    <col min="3" max="3" width="44.57421875" style="1" hidden="1" customWidth="1"/>
    <col min="4" max="4" width="10.00390625" style="1" hidden="1" customWidth="1"/>
    <col min="5" max="5" width="13.421875" style="1" hidden="1" customWidth="1"/>
    <col min="6" max="6" width="12.28125" style="4" hidden="1" customWidth="1"/>
    <col min="7" max="8" width="12.28125" style="1" hidden="1" customWidth="1"/>
    <col min="9" max="11" width="0" style="1" hidden="1" customWidth="1"/>
    <col min="12" max="16384" width="9.140625" style="1" customWidth="1"/>
  </cols>
  <sheetData>
    <row r="1" spans="1:8" ht="12.75">
      <c r="A1" s="77"/>
      <c r="B1" s="78"/>
      <c r="C1" s="78"/>
      <c r="D1" s="78"/>
      <c r="E1" s="78"/>
      <c r="F1" s="159"/>
      <c r="G1" s="78"/>
      <c r="H1" s="79"/>
    </row>
    <row r="2" spans="1:8" ht="12.75">
      <c r="A2" s="337"/>
      <c r="B2" s="338"/>
      <c r="C2" s="338"/>
      <c r="D2" s="338"/>
      <c r="E2" s="338"/>
      <c r="F2" s="12"/>
      <c r="G2" s="338"/>
      <c r="H2" s="339"/>
    </row>
    <row r="3" spans="1:8" ht="12.75">
      <c r="A3" s="337"/>
      <c r="B3" s="338"/>
      <c r="C3" s="338"/>
      <c r="D3" s="338"/>
      <c r="E3" s="338"/>
      <c r="F3" s="12"/>
      <c r="G3" s="338"/>
      <c r="H3" s="339"/>
    </row>
    <row r="4" spans="1:8" ht="12.75">
      <c r="A4" s="337"/>
      <c r="B4" s="338"/>
      <c r="C4" s="338"/>
      <c r="D4" s="338"/>
      <c r="E4" s="338"/>
      <c r="F4" s="12"/>
      <c r="G4" s="338"/>
      <c r="H4" s="339"/>
    </row>
    <row r="5" spans="1:8" ht="12.75">
      <c r="A5" s="337"/>
      <c r="B5" s="338"/>
      <c r="C5" s="338"/>
      <c r="D5" s="338"/>
      <c r="E5" s="338"/>
      <c r="F5" s="12"/>
      <c r="G5" s="338"/>
      <c r="H5" s="339"/>
    </row>
    <row r="6" spans="1:8" ht="12.75">
      <c r="A6" s="337"/>
      <c r="B6" s="338"/>
      <c r="C6" s="338"/>
      <c r="D6" s="338"/>
      <c r="E6" s="338"/>
      <c r="F6" s="12"/>
      <c r="G6" s="338"/>
      <c r="H6" s="339"/>
    </row>
    <row r="7" spans="1:8" ht="12.75">
      <c r="A7" s="337"/>
      <c r="B7" s="338"/>
      <c r="C7" s="338"/>
      <c r="D7" s="338"/>
      <c r="E7" s="338"/>
      <c r="F7" s="12"/>
      <c r="G7" s="338"/>
      <c r="H7" s="339"/>
    </row>
    <row r="8" spans="1:8" ht="12.75">
      <c r="A8" s="337"/>
      <c r="B8" s="338"/>
      <c r="C8" s="338"/>
      <c r="D8" s="338"/>
      <c r="E8" s="338"/>
      <c r="F8" s="12"/>
      <c r="G8" s="338"/>
      <c r="H8" s="339"/>
    </row>
    <row r="9" spans="1:8" ht="15.75">
      <c r="A9" s="340" t="s">
        <v>256</v>
      </c>
      <c r="B9" s="341"/>
      <c r="C9" s="338"/>
      <c r="D9" s="338"/>
      <c r="E9" s="338"/>
      <c r="F9" s="12"/>
      <c r="G9" s="338"/>
      <c r="H9" s="339"/>
    </row>
    <row r="10" spans="1:8" ht="15.75">
      <c r="A10" s="342"/>
      <c r="B10" s="341"/>
      <c r="C10" s="338"/>
      <c r="D10" s="338"/>
      <c r="E10" s="338"/>
      <c r="F10" s="12"/>
      <c r="G10" s="338"/>
      <c r="H10" s="339"/>
    </row>
    <row r="11" spans="1:8" ht="15.75">
      <c r="A11" s="343" t="s">
        <v>257</v>
      </c>
      <c r="B11" s="341"/>
      <c r="C11" s="338"/>
      <c r="D11" s="338"/>
      <c r="E11" s="338"/>
      <c r="F11" s="12"/>
      <c r="G11" s="338"/>
      <c r="H11" s="339"/>
    </row>
    <row r="12" spans="1:8" ht="15.75">
      <c r="A12" s="343" t="s">
        <v>258</v>
      </c>
      <c r="B12" s="341"/>
      <c r="C12" s="338"/>
      <c r="D12" s="338"/>
      <c r="E12" s="338"/>
      <c r="F12" s="12"/>
      <c r="G12" s="338"/>
      <c r="H12" s="339"/>
    </row>
    <row r="13" spans="1:8" ht="15.75">
      <c r="A13" s="343" t="s">
        <v>259</v>
      </c>
      <c r="B13" s="341"/>
      <c r="C13" s="338"/>
      <c r="D13" s="338"/>
      <c r="E13" s="338"/>
      <c r="F13" s="12"/>
      <c r="G13" s="338"/>
      <c r="H13" s="339"/>
    </row>
    <row r="14" spans="1:8" ht="15.75">
      <c r="A14" s="343" t="s">
        <v>260</v>
      </c>
      <c r="B14" s="341"/>
      <c r="C14" s="338"/>
      <c r="D14" s="338"/>
      <c r="E14" s="338"/>
      <c r="F14" s="12"/>
      <c r="G14" s="338"/>
      <c r="H14" s="339"/>
    </row>
    <row r="15" spans="1:8" ht="15.75">
      <c r="A15" s="344" t="s">
        <v>261</v>
      </c>
      <c r="B15" s="341"/>
      <c r="C15" s="338"/>
      <c r="D15" s="338"/>
      <c r="E15" s="338"/>
      <c r="F15" s="12"/>
      <c r="G15" s="338"/>
      <c r="H15" s="339"/>
    </row>
    <row r="16" spans="1:8" ht="20.25" customHeight="1" thickBot="1">
      <c r="A16" s="81"/>
      <c r="B16" s="82"/>
      <c r="C16" s="82"/>
      <c r="D16" s="82"/>
      <c r="E16" s="82"/>
      <c r="F16" s="85"/>
      <c r="G16" s="82"/>
      <c r="H16" s="84"/>
    </row>
    <row r="17" spans="1:8" s="4" customFormat="1" ht="19.5" customHeight="1" thickBot="1">
      <c r="A17" s="688" t="s">
        <v>136</v>
      </c>
      <c r="B17" s="689"/>
      <c r="C17" s="689"/>
      <c r="D17" s="689"/>
      <c r="E17" s="689"/>
      <c r="F17" s="689"/>
      <c r="G17" s="689"/>
      <c r="H17" s="690"/>
    </row>
    <row r="18" spans="1:8" s="4" customFormat="1" ht="3.75" customHeight="1" thickBot="1">
      <c r="A18" s="69"/>
      <c r="B18" s="69"/>
      <c r="C18" s="69"/>
      <c r="D18" s="69"/>
      <c r="E18" s="69"/>
      <c r="F18" s="69"/>
      <c r="G18" s="69"/>
      <c r="H18" s="69"/>
    </row>
    <row r="19" spans="1:8" s="4" customFormat="1" ht="12.75">
      <c r="A19" s="691" t="s">
        <v>178</v>
      </c>
      <c r="B19" s="692"/>
      <c r="C19" s="692"/>
      <c r="D19" s="692"/>
      <c r="E19" s="692"/>
      <c r="F19" s="693" t="s">
        <v>200</v>
      </c>
      <c r="G19" s="694"/>
      <c r="H19" s="695"/>
    </row>
    <row r="20" spans="1:8" s="4" customFormat="1" ht="26.25" customHeight="1">
      <c r="A20" s="696" t="s">
        <v>234</v>
      </c>
      <c r="B20" s="697"/>
      <c r="C20" s="697"/>
      <c r="D20" s="697"/>
      <c r="E20" s="698"/>
      <c r="F20" s="699"/>
      <c r="G20" s="700"/>
      <c r="H20" s="701"/>
    </row>
    <row r="21" spans="1:8" s="4" customFormat="1" ht="24.75" customHeight="1">
      <c r="A21" s="696" t="s">
        <v>235</v>
      </c>
      <c r="B21" s="697"/>
      <c r="C21" s="697"/>
      <c r="D21" s="697"/>
      <c r="E21" s="698"/>
      <c r="F21" s="702" t="s">
        <v>262</v>
      </c>
      <c r="G21" s="703"/>
      <c r="H21" s="704"/>
    </row>
    <row r="22" spans="1:8" s="4" customFormat="1" ht="39.75" customHeight="1">
      <c r="A22" s="696" t="s">
        <v>247</v>
      </c>
      <c r="B22" s="697"/>
      <c r="C22" s="697"/>
      <c r="D22" s="698"/>
      <c r="E22" s="699" t="s">
        <v>9</v>
      </c>
      <c r="F22" s="700"/>
      <c r="G22" s="700"/>
      <c r="H22" s="701"/>
    </row>
    <row r="23" spans="1:8" s="4" customFormat="1" ht="19.5" customHeight="1">
      <c r="A23" s="705" t="s">
        <v>60</v>
      </c>
      <c r="B23" s="706"/>
      <c r="C23" s="706"/>
      <c r="D23" s="707"/>
      <c r="E23" s="708" t="s">
        <v>6</v>
      </c>
      <c r="F23" s="710" t="s">
        <v>4</v>
      </c>
      <c r="G23" s="70" t="s">
        <v>19</v>
      </c>
      <c r="H23" s="71" t="s">
        <v>5</v>
      </c>
    </row>
    <row r="24" spans="1:8" s="4" customFormat="1" ht="19.5" customHeight="1" thickBot="1">
      <c r="A24" s="712" t="s">
        <v>135</v>
      </c>
      <c r="B24" s="713"/>
      <c r="C24" s="713"/>
      <c r="D24" s="714"/>
      <c r="E24" s="709"/>
      <c r="F24" s="711"/>
      <c r="G24" s="72" t="s">
        <v>7</v>
      </c>
      <c r="H24" s="345">
        <v>0.2204</v>
      </c>
    </row>
    <row r="25" spans="1:8" s="4" customFormat="1" ht="3.75" customHeight="1" thickBot="1">
      <c r="A25" s="716"/>
      <c r="B25" s="716"/>
      <c r="C25" s="716"/>
      <c r="D25" s="716"/>
      <c r="E25" s="716"/>
      <c r="F25" s="716"/>
      <c r="G25" s="716"/>
      <c r="H25" s="716"/>
    </row>
    <row r="26" spans="1:8" s="4" customFormat="1" ht="44.25" customHeight="1" thickBot="1">
      <c r="A26" s="138" t="s">
        <v>0</v>
      </c>
      <c r="B26" s="136" t="s">
        <v>3</v>
      </c>
      <c r="C26" s="69" t="s">
        <v>1</v>
      </c>
      <c r="D26" s="136" t="s">
        <v>2</v>
      </c>
      <c r="E26" s="134" t="s">
        <v>124</v>
      </c>
      <c r="F26" s="135" t="s">
        <v>10</v>
      </c>
      <c r="G26" s="74" t="s">
        <v>11</v>
      </c>
      <c r="H26" s="74" t="s">
        <v>125</v>
      </c>
    </row>
    <row r="27" spans="1:8" s="4" customFormat="1" ht="12.75">
      <c r="A27" s="195"/>
      <c r="B27" s="198"/>
      <c r="C27" s="166"/>
      <c r="D27" s="322"/>
      <c r="E27" s="177"/>
      <c r="F27" s="178"/>
      <c r="G27" s="177"/>
      <c r="H27" s="177"/>
    </row>
    <row r="28" spans="1:8" s="61" customFormat="1" ht="18" customHeight="1">
      <c r="A28" s="196">
        <v>1</v>
      </c>
      <c r="B28" s="199" t="s">
        <v>46</v>
      </c>
      <c r="C28" s="167" t="s">
        <v>20</v>
      </c>
      <c r="D28" s="322"/>
      <c r="E28" s="323"/>
      <c r="F28" s="324"/>
      <c r="G28" s="323"/>
      <c r="H28" s="323">
        <f>SUM(H29:H30)</f>
        <v>933.8249999999999</v>
      </c>
    </row>
    <row r="29" spans="1:9" s="4" customFormat="1" ht="12.75">
      <c r="A29" s="137" t="s">
        <v>13</v>
      </c>
      <c r="B29" s="200" t="s">
        <v>47</v>
      </c>
      <c r="C29" s="168" t="s">
        <v>48</v>
      </c>
      <c r="D29" s="325" t="s">
        <v>12</v>
      </c>
      <c r="E29" s="326">
        <v>2.5</v>
      </c>
      <c r="F29" s="327">
        <f>ROUND(I29*0.98,2)</f>
        <v>306.07</v>
      </c>
      <c r="G29" s="328">
        <f>ROUND(F29*1.2204,2)</f>
        <v>373.53</v>
      </c>
      <c r="H29" s="328">
        <f>E29*G29</f>
        <v>933.8249999999999</v>
      </c>
      <c r="I29" s="327">
        <v>312.32</v>
      </c>
    </row>
    <row r="30" spans="1:9" s="4" customFormat="1" ht="12.75">
      <c r="A30" s="137"/>
      <c r="B30" s="200"/>
      <c r="C30" s="168"/>
      <c r="D30" s="325"/>
      <c r="E30" s="328"/>
      <c r="F30" s="327"/>
      <c r="G30" s="328"/>
      <c r="H30" s="328"/>
      <c r="I30" s="327"/>
    </row>
    <row r="31" spans="1:9" s="61" customFormat="1" ht="12.75">
      <c r="A31" s="197">
        <v>2</v>
      </c>
      <c r="B31" s="201" t="s">
        <v>46</v>
      </c>
      <c r="C31" s="169" t="s">
        <v>30</v>
      </c>
      <c r="D31" s="329"/>
      <c r="E31" s="330"/>
      <c r="F31" s="327"/>
      <c r="G31" s="328"/>
      <c r="H31" s="330">
        <f>SUM(H32:H44)</f>
        <v>191652.3872</v>
      </c>
      <c r="I31" s="346"/>
    </row>
    <row r="32" spans="1:9" s="4" customFormat="1" ht="45">
      <c r="A32" s="137" t="s">
        <v>14</v>
      </c>
      <c r="B32" s="164" t="s">
        <v>248</v>
      </c>
      <c r="C32" s="168" t="s">
        <v>249</v>
      </c>
      <c r="D32" s="164" t="s">
        <v>17</v>
      </c>
      <c r="E32" s="328">
        <v>719.28</v>
      </c>
      <c r="F32" s="327">
        <f aca="true" t="shared" si="0" ref="F32:F81">ROUND(I32*0.98,2)</f>
        <v>3.25</v>
      </c>
      <c r="G32" s="328">
        <f aca="true" t="shared" si="1" ref="G32:G81">ROUND(F32*1.2204,2)</f>
        <v>3.97</v>
      </c>
      <c r="H32" s="328">
        <f>E32*G32</f>
        <v>2855.5416</v>
      </c>
      <c r="I32" s="327">
        <v>3.32</v>
      </c>
    </row>
    <row r="33" spans="1:9" s="4" customFormat="1" ht="12.75">
      <c r="A33" s="137" t="s">
        <v>15</v>
      </c>
      <c r="B33" s="164">
        <v>79483</v>
      </c>
      <c r="C33" s="168" t="s">
        <v>84</v>
      </c>
      <c r="D33" s="164" t="s">
        <v>12</v>
      </c>
      <c r="E33" s="328">
        <v>462</v>
      </c>
      <c r="F33" s="327">
        <f t="shared" si="0"/>
        <v>16.91</v>
      </c>
      <c r="G33" s="328">
        <f t="shared" si="1"/>
        <v>20.64</v>
      </c>
      <c r="H33" s="328">
        <f aca="true" t="shared" si="2" ref="H33:H43">E33*G33</f>
        <v>9535.68</v>
      </c>
      <c r="I33" s="327">
        <v>17.25</v>
      </c>
    </row>
    <row r="34" spans="1:9" s="4" customFormat="1" ht="37.5" customHeight="1">
      <c r="A34" s="137" t="s">
        <v>16</v>
      </c>
      <c r="B34" s="164" t="s">
        <v>156</v>
      </c>
      <c r="C34" s="168" t="s">
        <v>155</v>
      </c>
      <c r="D34" s="164" t="s">
        <v>18</v>
      </c>
      <c r="E34" s="328">
        <v>258</v>
      </c>
      <c r="F34" s="327">
        <f t="shared" si="0"/>
        <v>64.93</v>
      </c>
      <c r="G34" s="328">
        <f t="shared" si="1"/>
        <v>79.24</v>
      </c>
      <c r="H34" s="328">
        <f t="shared" si="2"/>
        <v>20443.92</v>
      </c>
      <c r="I34" s="347">
        <v>66.26</v>
      </c>
    </row>
    <row r="35" spans="1:9" s="4" customFormat="1" ht="48" customHeight="1">
      <c r="A35" s="137" t="s">
        <v>56</v>
      </c>
      <c r="B35" s="164">
        <v>92210</v>
      </c>
      <c r="C35" s="168" t="s">
        <v>177</v>
      </c>
      <c r="D35" s="164" t="s">
        <v>18</v>
      </c>
      <c r="E35" s="328">
        <v>466</v>
      </c>
      <c r="F35" s="327">
        <f t="shared" si="0"/>
        <v>83.21</v>
      </c>
      <c r="G35" s="328">
        <f t="shared" si="1"/>
        <v>101.55</v>
      </c>
      <c r="H35" s="328">
        <f t="shared" si="2"/>
        <v>47322.299999999996</v>
      </c>
      <c r="I35" s="347">
        <v>84.91</v>
      </c>
    </row>
    <row r="36" spans="1:9" s="4" customFormat="1" ht="48" customHeight="1">
      <c r="A36" s="137" t="s">
        <v>57</v>
      </c>
      <c r="B36" s="164">
        <v>92212</v>
      </c>
      <c r="C36" s="168" t="s">
        <v>157</v>
      </c>
      <c r="D36" s="164" t="s">
        <v>18</v>
      </c>
      <c r="E36" s="328">
        <v>46</v>
      </c>
      <c r="F36" s="327">
        <f t="shared" si="0"/>
        <v>136.03</v>
      </c>
      <c r="G36" s="328">
        <f t="shared" si="1"/>
        <v>166.01</v>
      </c>
      <c r="H36" s="328">
        <f>E36*G36</f>
        <v>7636.459999999999</v>
      </c>
      <c r="I36" s="347">
        <v>138.81</v>
      </c>
    </row>
    <row r="37" spans="1:9" s="4" customFormat="1" ht="22.5">
      <c r="A37" s="137" t="s">
        <v>61</v>
      </c>
      <c r="B37" s="164" t="s">
        <v>85</v>
      </c>
      <c r="C37" s="168" t="s">
        <v>86</v>
      </c>
      <c r="D37" s="325" t="s">
        <v>17</v>
      </c>
      <c r="E37" s="328">
        <v>629.52</v>
      </c>
      <c r="F37" s="327">
        <f t="shared" si="0"/>
        <v>22.56</v>
      </c>
      <c r="G37" s="328">
        <f t="shared" si="1"/>
        <v>27.53</v>
      </c>
      <c r="H37" s="328">
        <f t="shared" si="2"/>
        <v>17330.6856</v>
      </c>
      <c r="I37" s="327">
        <v>23.02</v>
      </c>
    </row>
    <row r="38" spans="1:9" s="4" customFormat="1" ht="36.75" customHeight="1">
      <c r="A38" s="137" t="s">
        <v>90</v>
      </c>
      <c r="B38" s="164">
        <v>83659</v>
      </c>
      <c r="C38" s="168" t="s">
        <v>88</v>
      </c>
      <c r="D38" s="164" t="s">
        <v>26</v>
      </c>
      <c r="E38" s="328">
        <v>36</v>
      </c>
      <c r="F38" s="327">
        <f t="shared" si="0"/>
        <v>584.9</v>
      </c>
      <c r="G38" s="328">
        <f t="shared" si="1"/>
        <v>713.81</v>
      </c>
      <c r="H38" s="328">
        <f t="shared" si="2"/>
        <v>25697.159999999996</v>
      </c>
      <c r="I38" s="327">
        <v>596.84</v>
      </c>
    </row>
    <row r="39" spans="1:9" s="4" customFormat="1" ht="22.5">
      <c r="A39" s="137" t="s">
        <v>91</v>
      </c>
      <c r="B39" s="164">
        <v>83708</v>
      </c>
      <c r="C39" s="168" t="s">
        <v>89</v>
      </c>
      <c r="D39" s="164" t="s">
        <v>26</v>
      </c>
      <c r="E39" s="328">
        <v>10</v>
      </c>
      <c r="F39" s="327">
        <f t="shared" si="0"/>
        <v>959.65</v>
      </c>
      <c r="G39" s="328">
        <f t="shared" si="1"/>
        <v>1171.16</v>
      </c>
      <c r="H39" s="328">
        <f t="shared" si="2"/>
        <v>11711.6</v>
      </c>
      <c r="I39" s="327">
        <v>979.23</v>
      </c>
    </row>
    <row r="40" spans="1:9" s="4" customFormat="1" ht="22.5">
      <c r="A40" s="137" t="s">
        <v>92</v>
      </c>
      <c r="B40" s="164">
        <v>83709</v>
      </c>
      <c r="C40" s="168" t="s">
        <v>158</v>
      </c>
      <c r="D40" s="164" t="s">
        <v>26</v>
      </c>
      <c r="E40" s="328">
        <v>4</v>
      </c>
      <c r="F40" s="327">
        <f t="shared" si="0"/>
        <v>1195.65</v>
      </c>
      <c r="G40" s="328">
        <f t="shared" si="1"/>
        <v>1459.17</v>
      </c>
      <c r="H40" s="328">
        <f>E40*G40</f>
        <v>5836.68</v>
      </c>
      <c r="I40" s="327">
        <v>1220.05</v>
      </c>
    </row>
    <row r="41" spans="1:9" s="4" customFormat="1" ht="33.75">
      <c r="A41" s="137" t="s">
        <v>130</v>
      </c>
      <c r="B41" s="164">
        <v>83627</v>
      </c>
      <c r="C41" s="168" t="s">
        <v>253</v>
      </c>
      <c r="D41" s="164" t="s">
        <v>26</v>
      </c>
      <c r="E41" s="328">
        <v>14</v>
      </c>
      <c r="F41" s="327">
        <f t="shared" si="0"/>
        <v>350.29</v>
      </c>
      <c r="G41" s="328">
        <f t="shared" si="1"/>
        <v>427.49</v>
      </c>
      <c r="H41" s="328">
        <f>E41*G41</f>
        <v>5984.860000000001</v>
      </c>
      <c r="I41" s="327">
        <v>357.44</v>
      </c>
    </row>
    <row r="42" spans="1:9" s="4" customFormat="1" ht="33.75">
      <c r="A42" s="137" t="s">
        <v>176</v>
      </c>
      <c r="B42" s="164">
        <v>72967</v>
      </c>
      <c r="C42" s="168" t="s">
        <v>49</v>
      </c>
      <c r="D42" s="164" t="s">
        <v>18</v>
      </c>
      <c r="E42" s="328">
        <v>30</v>
      </c>
      <c r="F42" s="327">
        <f t="shared" si="0"/>
        <v>26.98</v>
      </c>
      <c r="G42" s="328">
        <f t="shared" si="1"/>
        <v>32.93</v>
      </c>
      <c r="H42" s="328">
        <f t="shared" si="2"/>
        <v>987.9</v>
      </c>
      <c r="I42" s="327">
        <v>27.53</v>
      </c>
    </row>
    <row r="43" spans="1:9" s="4" customFormat="1" ht="22.5">
      <c r="A43" s="137" t="s">
        <v>252</v>
      </c>
      <c r="B43" s="164" t="s">
        <v>50</v>
      </c>
      <c r="C43" s="168" t="s">
        <v>66</v>
      </c>
      <c r="D43" s="164" t="s">
        <v>18</v>
      </c>
      <c r="E43" s="328">
        <v>840.5</v>
      </c>
      <c r="F43" s="327">
        <f t="shared" si="0"/>
        <v>35.4</v>
      </c>
      <c r="G43" s="328">
        <f t="shared" si="1"/>
        <v>43.2</v>
      </c>
      <c r="H43" s="328">
        <f t="shared" si="2"/>
        <v>36309.600000000006</v>
      </c>
      <c r="I43" s="327">
        <v>36.12</v>
      </c>
    </row>
    <row r="44" spans="1:9" s="4" customFormat="1" ht="12.75">
      <c r="A44" s="137"/>
      <c r="B44" s="164"/>
      <c r="C44" s="168"/>
      <c r="D44" s="164"/>
      <c r="E44" s="328"/>
      <c r="F44" s="327"/>
      <c r="G44" s="328"/>
      <c r="H44" s="328"/>
      <c r="I44" s="327"/>
    </row>
    <row r="45" spans="1:9" s="61" customFormat="1" ht="12.75">
      <c r="A45" s="197">
        <v>3</v>
      </c>
      <c r="B45" s="201" t="s">
        <v>46</v>
      </c>
      <c r="C45" s="169" t="s">
        <v>179</v>
      </c>
      <c r="D45" s="329"/>
      <c r="E45" s="330"/>
      <c r="F45" s="327"/>
      <c r="G45" s="328"/>
      <c r="H45" s="330">
        <f>SUM(H46:H58)</f>
        <v>314753.4741</v>
      </c>
      <c r="I45" s="346"/>
    </row>
    <row r="46" spans="1:9" s="98" customFormat="1" ht="56.25">
      <c r="A46" s="137" t="s">
        <v>24</v>
      </c>
      <c r="B46" s="164" t="s">
        <v>184</v>
      </c>
      <c r="C46" s="168" t="s">
        <v>238</v>
      </c>
      <c r="D46" s="325" t="s">
        <v>17</v>
      </c>
      <c r="E46" s="328">
        <v>2092.91</v>
      </c>
      <c r="F46" s="327">
        <f t="shared" si="0"/>
        <v>2.99</v>
      </c>
      <c r="G46" s="328">
        <f t="shared" si="1"/>
        <v>3.65</v>
      </c>
      <c r="H46" s="328">
        <f aca="true" t="shared" si="3" ref="H46:H57">E46*G46</f>
        <v>7639.121499999999</v>
      </c>
      <c r="I46" s="348">
        <v>3.05</v>
      </c>
    </row>
    <row r="47" spans="1:9" s="98" customFormat="1" ht="33.75">
      <c r="A47" s="137" t="s">
        <v>58</v>
      </c>
      <c r="B47" s="164">
        <v>92970</v>
      </c>
      <c r="C47" s="168" t="s">
        <v>221</v>
      </c>
      <c r="D47" s="325" t="s">
        <v>12</v>
      </c>
      <c r="E47" s="328">
        <v>54.67</v>
      </c>
      <c r="F47" s="327">
        <f t="shared" si="0"/>
        <v>8.6</v>
      </c>
      <c r="G47" s="328">
        <f t="shared" si="1"/>
        <v>10.5</v>
      </c>
      <c r="H47" s="328">
        <f>E47*G47</f>
        <v>574.035</v>
      </c>
      <c r="I47" s="348">
        <v>8.78</v>
      </c>
    </row>
    <row r="48" spans="1:9" s="4" customFormat="1" ht="33.75">
      <c r="A48" s="137" t="s">
        <v>27</v>
      </c>
      <c r="B48" s="164">
        <v>72888</v>
      </c>
      <c r="C48" s="168" t="s">
        <v>186</v>
      </c>
      <c r="D48" s="325" t="s">
        <v>17</v>
      </c>
      <c r="E48" s="328">
        <v>2106.58</v>
      </c>
      <c r="F48" s="327">
        <f t="shared" si="0"/>
        <v>0.85</v>
      </c>
      <c r="G48" s="328">
        <f t="shared" si="1"/>
        <v>1.04</v>
      </c>
      <c r="H48" s="328">
        <f t="shared" si="3"/>
        <v>2190.8432</v>
      </c>
      <c r="I48" s="348">
        <v>0.87</v>
      </c>
    </row>
    <row r="49" spans="1:9" s="4" customFormat="1" ht="22.5">
      <c r="A49" s="137" t="s">
        <v>187</v>
      </c>
      <c r="B49" s="164">
        <v>83358</v>
      </c>
      <c r="C49" s="168" t="s">
        <v>190</v>
      </c>
      <c r="D49" s="325" t="s">
        <v>180</v>
      </c>
      <c r="E49" s="328">
        <v>3159.87</v>
      </c>
      <c r="F49" s="327">
        <f t="shared" si="0"/>
        <v>1.22</v>
      </c>
      <c r="G49" s="328">
        <f t="shared" si="1"/>
        <v>1.49</v>
      </c>
      <c r="H49" s="328">
        <f t="shared" si="3"/>
        <v>4708.2063</v>
      </c>
      <c r="I49" s="348">
        <v>1.24</v>
      </c>
    </row>
    <row r="50" spans="1:9" s="4" customFormat="1" ht="22.5">
      <c r="A50" s="137" t="s">
        <v>188</v>
      </c>
      <c r="B50" s="137">
        <v>72961</v>
      </c>
      <c r="C50" s="168" t="s">
        <v>51</v>
      </c>
      <c r="D50" s="325" t="s">
        <v>12</v>
      </c>
      <c r="E50" s="328">
        <v>8426.32</v>
      </c>
      <c r="F50" s="327">
        <f t="shared" si="0"/>
        <v>1.07</v>
      </c>
      <c r="G50" s="328">
        <f t="shared" si="1"/>
        <v>1.31</v>
      </c>
      <c r="H50" s="331">
        <f t="shared" si="3"/>
        <v>11038.4792</v>
      </c>
      <c r="I50" s="327">
        <v>1.09</v>
      </c>
    </row>
    <row r="51" spans="1:9" s="4" customFormat="1" ht="45">
      <c r="A51" s="137" t="s">
        <v>189</v>
      </c>
      <c r="B51" s="164" t="s">
        <v>184</v>
      </c>
      <c r="C51" s="168" t="s">
        <v>185</v>
      </c>
      <c r="D51" s="325" t="s">
        <v>17</v>
      </c>
      <c r="E51" s="328">
        <v>1685.26</v>
      </c>
      <c r="F51" s="327">
        <f t="shared" si="0"/>
        <v>2.99</v>
      </c>
      <c r="G51" s="328">
        <f t="shared" si="1"/>
        <v>3.65</v>
      </c>
      <c r="H51" s="328">
        <f t="shared" si="3"/>
        <v>6151.199</v>
      </c>
      <c r="I51" s="348">
        <v>3.05</v>
      </c>
    </row>
    <row r="52" spans="1:9" s="4" customFormat="1" ht="22.5">
      <c r="A52" s="137" t="s">
        <v>191</v>
      </c>
      <c r="B52" s="164">
        <v>72841</v>
      </c>
      <c r="C52" s="168" t="s">
        <v>199</v>
      </c>
      <c r="D52" s="325" t="s">
        <v>181</v>
      </c>
      <c r="E52" s="328">
        <v>10516.05</v>
      </c>
      <c r="F52" s="327">
        <f t="shared" si="0"/>
        <v>0.81</v>
      </c>
      <c r="G52" s="328">
        <f t="shared" si="1"/>
        <v>0.99</v>
      </c>
      <c r="H52" s="328">
        <f t="shared" si="3"/>
        <v>10410.8895</v>
      </c>
      <c r="I52" s="348">
        <v>0.83</v>
      </c>
    </row>
    <row r="53" spans="1:9" s="4" customFormat="1" ht="33.75">
      <c r="A53" s="137" t="s">
        <v>192</v>
      </c>
      <c r="B53" s="164">
        <v>72911</v>
      </c>
      <c r="C53" s="168" t="s">
        <v>237</v>
      </c>
      <c r="D53" s="325" t="s">
        <v>17</v>
      </c>
      <c r="E53" s="328">
        <v>1685.26</v>
      </c>
      <c r="F53" s="327">
        <f t="shared" si="0"/>
        <v>8.25</v>
      </c>
      <c r="G53" s="328">
        <f t="shared" si="1"/>
        <v>10.07</v>
      </c>
      <c r="H53" s="328">
        <f t="shared" si="3"/>
        <v>16970.5682</v>
      </c>
      <c r="I53" s="348">
        <v>8.42</v>
      </c>
    </row>
    <row r="54" spans="1:9" s="4" customFormat="1" ht="22.5">
      <c r="A54" s="137" t="s">
        <v>193</v>
      </c>
      <c r="B54" s="164">
        <v>72843</v>
      </c>
      <c r="C54" s="168" t="s">
        <v>236</v>
      </c>
      <c r="D54" s="325" t="s">
        <v>181</v>
      </c>
      <c r="E54" s="328">
        <v>700.93</v>
      </c>
      <c r="F54" s="327">
        <f t="shared" si="0"/>
        <v>0.55</v>
      </c>
      <c r="G54" s="328">
        <f t="shared" si="1"/>
        <v>0.67</v>
      </c>
      <c r="H54" s="328">
        <f t="shared" si="3"/>
        <v>469.6231</v>
      </c>
      <c r="I54" s="348">
        <v>0.56</v>
      </c>
    </row>
    <row r="55" spans="1:9" s="4" customFormat="1" ht="22.5">
      <c r="A55" s="137" t="s">
        <v>194</v>
      </c>
      <c r="B55" s="164">
        <v>72945</v>
      </c>
      <c r="C55" s="168" t="s">
        <v>197</v>
      </c>
      <c r="D55" s="325" t="s">
        <v>12</v>
      </c>
      <c r="E55" s="328">
        <v>8090.12</v>
      </c>
      <c r="F55" s="327">
        <f t="shared" si="0"/>
        <v>4.16</v>
      </c>
      <c r="G55" s="328">
        <f t="shared" si="1"/>
        <v>5.08</v>
      </c>
      <c r="H55" s="328">
        <f t="shared" si="3"/>
        <v>41097.8096</v>
      </c>
      <c r="I55" s="348">
        <v>4.24</v>
      </c>
    </row>
    <row r="56" spans="1:9" s="4" customFormat="1" ht="22.5">
      <c r="A56" s="137" t="s">
        <v>195</v>
      </c>
      <c r="B56" s="164">
        <v>72840</v>
      </c>
      <c r="C56" s="168" t="s">
        <v>250</v>
      </c>
      <c r="D56" s="325" t="s">
        <v>181</v>
      </c>
      <c r="E56" s="328">
        <v>56074.25</v>
      </c>
      <c r="F56" s="327">
        <f t="shared" si="0"/>
        <v>0.42</v>
      </c>
      <c r="G56" s="328">
        <f t="shared" si="1"/>
        <v>0.51</v>
      </c>
      <c r="H56" s="328">
        <f t="shared" si="3"/>
        <v>28597.8675</v>
      </c>
      <c r="I56" s="348">
        <v>0.43</v>
      </c>
    </row>
    <row r="57" spans="1:9" s="4" customFormat="1" ht="33.75">
      <c r="A57" s="137" t="s">
        <v>196</v>
      </c>
      <c r="B57" s="164">
        <v>72965</v>
      </c>
      <c r="C57" s="168" t="s">
        <v>251</v>
      </c>
      <c r="D57" s="325" t="s">
        <v>198</v>
      </c>
      <c r="E57" s="328">
        <v>776.65</v>
      </c>
      <c r="F57" s="327">
        <f t="shared" si="0"/>
        <v>195.08</v>
      </c>
      <c r="G57" s="328">
        <f t="shared" si="1"/>
        <v>238.08</v>
      </c>
      <c r="H57" s="328">
        <f t="shared" si="3"/>
        <v>184904.832</v>
      </c>
      <c r="I57" s="348">
        <v>199.06</v>
      </c>
    </row>
    <row r="58" spans="1:9" s="4" customFormat="1" ht="12.75">
      <c r="A58" s="137"/>
      <c r="B58" s="164"/>
      <c r="C58" s="168"/>
      <c r="D58" s="325"/>
      <c r="E58" s="328"/>
      <c r="F58" s="327"/>
      <c r="G58" s="328"/>
      <c r="H58" s="328"/>
      <c r="I58" s="327"/>
    </row>
    <row r="59" spans="1:9" s="61" customFormat="1" ht="12.75">
      <c r="A59" s="197">
        <v>4</v>
      </c>
      <c r="B59" s="201" t="s">
        <v>46</v>
      </c>
      <c r="C59" s="169" t="s">
        <v>31</v>
      </c>
      <c r="D59" s="329"/>
      <c r="E59" s="330"/>
      <c r="F59" s="327"/>
      <c r="G59" s="328"/>
      <c r="H59" s="330">
        <f>SUM(H60:H63)</f>
        <v>51425.132300000005</v>
      </c>
      <c r="I59" s="346"/>
    </row>
    <row r="60" spans="1:9" s="4" customFormat="1" ht="22.5">
      <c r="A60" s="137" t="s">
        <v>25</v>
      </c>
      <c r="B60" s="164" t="s">
        <v>52</v>
      </c>
      <c r="C60" s="168" t="s">
        <v>53</v>
      </c>
      <c r="D60" s="325" t="s">
        <v>17</v>
      </c>
      <c r="E60" s="328">
        <v>101.51</v>
      </c>
      <c r="F60" s="327">
        <f t="shared" si="0"/>
        <v>87.84</v>
      </c>
      <c r="G60" s="328">
        <f t="shared" si="1"/>
        <v>107.2</v>
      </c>
      <c r="H60" s="328">
        <f>E60*G60</f>
        <v>10881.872000000001</v>
      </c>
      <c r="I60" s="327">
        <v>89.63</v>
      </c>
    </row>
    <row r="61" spans="1:9" s="4" customFormat="1" ht="33.75">
      <c r="A61" s="137" t="s">
        <v>59</v>
      </c>
      <c r="B61" s="164">
        <v>85181</v>
      </c>
      <c r="C61" s="168" t="s">
        <v>79</v>
      </c>
      <c r="D61" s="325" t="s">
        <v>12</v>
      </c>
      <c r="E61" s="328">
        <v>676.74</v>
      </c>
      <c r="F61" s="327">
        <f t="shared" si="0"/>
        <v>46.93</v>
      </c>
      <c r="G61" s="328">
        <f t="shared" si="1"/>
        <v>57.27</v>
      </c>
      <c r="H61" s="328">
        <f>E61*G61</f>
        <v>38756.8998</v>
      </c>
      <c r="I61" s="327">
        <v>47.89</v>
      </c>
    </row>
    <row r="62" spans="1:9" s="4" customFormat="1" ht="51" customHeight="1">
      <c r="A62" s="137" t="s">
        <v>159</v>
      </c>
      <c r="B62" s="164" t="str">
        <f>B88</f>
        <v>RV 14.95.0050 (A)</v>
      </c>
      <c r="C62" s="168" t="str">
        <f>C88</f>
        <v>Piso de alerta em placas marmorizadas vibro-prensadas, Tecnogran ou similar, com acabamento rustico, na cor cinza, inclusive contrapiso com espessura de 3cm. Fornecimento e colocacao.</v>
      </c>
      <c r="D62" s="325" t="s">
        <v>12</v>
      </c>
      <c r="E62" s="328">
        <v>11.71</v>
      </c>
      <c r="F62" s="327">
        <f t="shared" si="0"/>
        <v>125</v>
      </c>
      <c r="G62" s="328">
        <f t="shared" si="1"/>
        <v>152.55</v>
      </c>
      <c r="H62" s="328">
        <f>E62*G62</f>
        <v>1786.3605000000002</v>
      </c>
      <c r="I62" s="327">
        <v>127.55</v>
      </c>
    </row>
    <row r="63" spans="1:9" s="4" customFormat="1" ht="12.75">
      <c r="A63" s="137"/>
      <c r="B63" s="164"/>
      <c r="C63" s="168"/>
      <c r="D63" s="325"/>
      <c r="E63" s="328"/>
      <c r="F63" s="327"/>
      <c r="G63" s="328"/>
      <c r="H63" s="328"/>
      <c r="I63" s="327"/>
    </row>
    <row r="64" spans="1:9" s="61" customFormat="1" ht="12.75">
      <c r="A64" s="197">
        <v>5</v>
      </c>
      <c r="B64" s="201" t="s">
        <v>46</v>
      </c>
      <c r="C64" s="169" t="s">
        <v>67</v>
      </c>
      <c r="D64" s="329"/>
      <c r="E64" s="330"/>
      <c r="F64" s="327"/>
      <c r="G64" s="328"/>
      <c r="H64" s="330">
        <f>SUM(H65:H71)</f>
        <v>7441.1016</v>
      </c>
      <c r="I64" s="346"/>
    </row>
    <row r="65" spans="1:9" s="4" customFormat="1" ht="22.5">
      <c r="A65" s="137" t="s">
        <v>32</v>
      </c>
      <c r="B65" s="164" t="s">
        <v>69</v>
      </c>
      <c r="C65" s="168" t="s">
        <v>70</v>
      </c>
      <c r="D65" s="325" t="s">
        <v>12</v>
      </c>
      <c r="E65" s="328">
        <v>105.6</v>
      </c>
      <c r="F65" s="327">
        <f t="shared" si="0"/>
        <v>26.29</v>
      </c>
      <c r="G65" s="328">
        <f t="shared" si="1"/>
        <v>32.08</v>
      </c>
      <c r="H65" s="328">
        <f aca="true" t="shared" si="4" ref="H65:H70">E65*G65</f>
        <v>3387.6479999999997</v>
      </c>
      <c r="I65" s="327">
        <v>26.83</v>
      </c>
    </row>
    <row r="66" spans="1:9" s="4" customFormat="1" ht="22.5">
      <c r="A66" s="137" t="s">
        <v>76</v>
      </c>
      <c r="B66" s="164" t="s">
        <v>69</v>
      </c>
      <c r="C66" s="168" t="s">
        <v>127</v>
      </c>
      <c r="D66" s="325" t="s">
        <v>12</v>
      </c>
      <c r="E66" s="328">
        <v>6.84</v>
      </c>
      <c r="F66" s="327">
        <f t="shared" si="0"/>
        <v>26.29</v>
      </c>
      <c r="G66" s="328">
        <f t="shared" si="1"/>
        <v>32.08</v>
      </c>
      <c r="H66" s="328">
        <f t="shared" si="4"/>
        <v>219.42719999999997</v>
      </c>
      <c r="I66" s="327">
        <v>26.83</v>
      </c>
    </row>
    <row r="67" spans="1:9" s="4" customFormat="1" ht="22.5">
      <c r="A67" s="137" t="s">
        <v>77</v>
      </c>
      <c r="B67" s="164" t="s">
        <v>71</v>
      </c>
      <c r="C67" s="168" t="s">
        <v>72</v>
      </c>
      <c r="D67" s="325" t="s">
        <v>12</v>
      </c>
      <c r="E67" s="328">
        <v>6.48</v>
      </c>
      <c r="F67" s="327">
        <f t="shared" si="0"/>
        <v>223.48</v>
      </c>
      <c r="G67" s="328">
        <f t="shared" si="1"/>
        <v>272.73</v>
      </c>
      <c r="H67" s="328">
        <f t="shared" si="4"/>
        <v>1767.2904000000003</v>
      </c>
      <c r="I67" s="327">
        <v>228.04</v>
      </c>
    </row>
    <row r="68" spans="1:9" s="4" customFormat="1" ht="22.5">
      <c r="A68" s="137" t="s">
        <v>78</v>
      </c>
      <c r="B68" s="164" t="s">
        <v>131</v>
      </c>
      <c r="C68" s="168" t="s">
        <v>132</v>
      </c>
      <c r="D68" s="325" t="s">
        <v>26</v>
      </c>
      <c r="E68" s="328">
        <v>21</v>
      </c>
      <c r="F68" s="327">
        <f t="shared" si="0"/>
        <v>63.87</v>
      </c>
      <c r="G68" s="328">
        <f t="shared" si="1"/>
        <v>77.95</v>
      </c>
      <c r="H68" s="328">
        <f t="shared" si="4"/>
        <v>1636.95</v>
      </c>
      <c r="I68" s="327">
        <v>65.17</v>
      </c>
    </row>
    <row r="69" spans="1:9" s="4" customFormat="1" ht="12.75">
      <c r="A69" s="137" t="s">
        <v>128</v>
      </c>
      <c r="B69" s="164" t="s">
        <v>82</v>
      </c>
      <c r="C69" s="168" t="s">
        <v>73</v>
      </c>
      <c r="D69" s="325" t="s">
        <v>12</v>
      </c>
      <c r="E69" s="328">
        <v>10.8</v>
      </c>
      <c r="F69" s="327">
        <f t="shared" si="0"/>
        <v>9.6</v>
      </c>
      <c r="G69" s="328">
        <f t="shared" si="1"/>
        <v>11.72</v>
      </c>
      <c r="H69" s="328">
        <f t="shared" si="4"/>
        <v>126.57600000000002</v>
      </c>
      <c r="I69" s="327">
        <v>9.8</v>
      </c>
    </row>
    <row r="70" spans="1:9" s="4" customFormat="1" ht="22.5">
      <c r="A70" s="137" t="s">
        <v>129</v>
      </c>
      <c r="B70" s="164" t="s">
        <v>74</v>
      </c>
      <c r="C70" s="168" t="s">
        <v>75</v>
      </c>
      <c r="D70" s="325" t="s">
        <v>26</v>
      </c>
      <c r="E70" s="328">
        <v>3</v>
      </c>
      <c r="F70" s="327">
        <f t="shared" si="0"/>
        <v>82.82</v>
      </c>
      <c r="G70" s="328">
        <f t="shared" si="1"/>
        <v>101.07</v>
      </c>
      <c r="H70" s="328">
        <f t="shared" si="4"/>
        <v>303.21</v>
      </c>
      <c r="I70" s="327">
        <v>84.51</v>
      </c>
    </row>
    <row r="71" spans="1:9" s="89" customFormat="1" ht="12.75">
      <c r="A71" s="139"/>
      <c r="B71" s="202"/>
      <c r="C71" s="170"/>
      <c r="D71" s="332"/>
      <c r="E71" s="333"/>
      <c r="F71" s="327"/>
      <c r="G71" s="328"/>
      <c r="H71" s="333"/>
      <c r="I71" s="327"/>
    </row>
    <row r="72" spans="1:9" s="61" customFormat="1" ht="12.75">
      <c r="A72" s="197">
        <v>6</v>
      </c>
      <c r="B72" s="201" t="s">
        <v>46</v>
      </c>
      <c r="C72" s="169" t="s">
        <v>214</v>
      </c>
      <c r="D72" s="329"/>
      <c r="E72" s="330"/>
      <c r="F72" s="327"/>
      <c r="G72" s="328"/>
      <c r="H72" s="330">
        <f>SUM(H73:H79)</f>
        <v>1515.1428</v>
      </c>
      <c r="I72" s="346"/>
    </row>
    <row r="73" spans="1:9" s="98" customFormat="1" ht="22.5">
      <c r="A73" s="137" t="s">
        <v>68</v>
      </c>
      <c r="B73" s="164">
        <v>72215</v>
      </c>
      <c r="C73" s="168" t="s">
        <v>222</v>
      </c>
      <c r="D73" s="325" t="s">
        <v>17</v>
      </c>
      <c r="E73" s="328">
        <v>1.08</v>
      </c>
      <c r="F73" s="327">
        <f t="shared" si="0"/>
        <v>28.18</v>
      </c>
      <c r="G73" s="328">
        <f t="shared" si="1"/>
        <v>34.39</v>
      </c>
      <c r="H73" s="328">
        <f aca="true" t="shared" si="5" ref="H73:H78">E73*G73</f>
        <v>37.141200000000005</v>
      </c>
      <c r="I73" s="348">
        <v>28.76</v>
      </c>
    </row>
    <row r="74" spans="1:9" s="98" customFormat="1" ht="56.25">
      <c r="A74" s="137" t="s">
        <v>215</v>
      </c>
      <c r="B74" s="164">
        <v>90100</v>
      </c>
      <c r="C74" s="168" t="s">
        <v>223</v>
      </c>
      <c r="D74" s="325" t="s">
        <v>17</v>
      </c>
      <c r="E74" s="328">
        <v>8.64</v>
      </c>
      <c r="F74" s="327">
        <f t="shared" si="0"/>
        <v>11.35</v>
      </c>
      <c r="G74" s="328">
        <f t="shared" si="1"/>
        <v>13.85</v>
      </c>
      <c r="H74" s="328">
        <f t="shared" si="5"/>
        <v>119.664</v>
      </c>
      <c r="I74" s="348">
        <v>11.58</v>
      </c>
    </row>
    <row r="75" spans="1:9" s="98" customFormat="1" ht="56.25">
      <c r="A75" s="137" t="s">
        <v>216</v>
      </c>
      <c r="B75" s="164">
        <v>87463</v>
      </c>
      <c r="C75" s="168" t="s">
        <v>224</v>
      </c>
      <c r="D75" s="325" t="s">
        <v>12</v>
      </c>
      <c r="E75" s="328">
        <v>4.32</v>
      </c>
      <c r="F75" s="327">
        <f t="shared" si="0"/>
        <v>59.15</v>
      </c>
      <c r="G75" s="328">
        <f t="shared" si="1"/>
        <v>72.19</v>
      </c>
      <c r="H75" s="328">
        <f t="shared" si="5"/>
        <v>311.8608</v>
      </c>
      <c r="I75" s="348">
        <v>60.36</v>
      </c>
    </row>
    <row r="76" spans="1:9" s="98" customFormat="1" ht="45">
      <c r="A76" s="137" t="s">
        <v>217</v>
      </c>
      <c r="B76" s="164">
        <v>87878</v>
      </c>
      <c r="C76" s="168" t="s">
        <v>225</v>
      </c>
      <c r="D76" s="325" t="s">
        <v>12</v>
      </c>
      <c r="E76" s="328">
        <v>4.32</v>
      </c>
      <c r="F76" s="327">
        <f t="shared" si="0"/>
        <v>2.74</v>
      </c>
      <c r="G76" s="328">
        <f t="shared" si="1"/>
        <v>3.34</v>
      </c>
      <c r="H76" s="328">
        <f t="shared" si="5"/>
        <v>14.4288</v>
      </c>
      <c r="I76" s="348">
        <v>2.8</v>
      </c>
    </row>
    <row r="77" spans="1:9" s="98" customFormat="1" ht="45">
      <c r="A77" s="137" t="s">
        <v>218</v>
      </c>
      <c r="B77" s="164">
        <v>84078</v>
      </c>
      <c r="C77" s="168" t="s">
        <v>226</v>
      </c>
      <c r="D77" s="325" t="s">
        <v>12</v>
      </c>
      <c r="E77" s="328">
        <v>4.32</v>
      </c>
      <c r="F77" s="327">
        <f t="shared" si="0"/>
        <v>113.67</v>
      </c>
      <c r="G77" s="328">
        <f t="shared" si="1"/>
        <v>138.72</v>
      </c>
      <c r="H77" s="328">
        <f t="shared" si="5"/>
        <v>599.2704</v>
      </c>
      <c r="I77" s="348">
        <v>115.99</v>
      </c>
    </row>
    <row r="78" spans="1:9" s="98" customFormat="1" ht="56.25">
      <c r="A78" s="137" t="s">
        <v>219</v>
      </c>
      <c r="B78" s="164">
        <v>5719</v>
      </c>
      <c r="C78" s="168" t="s">
        <v>227</v>
      </c>
      <c r="D78" s="325" t="s">
        <v>17</v>
      </c>
      <c r="E78" s="328">
        <v>8.64</v>
      </c>
      <c r="F78" s="327">
        <f t="shared" si="0"/>
        <v>41.04</v>
      </c>
      <c r="G78" s="328">
        <f t="shared" si="1"/>
        <v>50.09</v>
      </c>
      <c r="H78" s="328">
        <f t="shared" si="5"/>
        <v>432.77760000000006</v>
      </c>
      <c r="I78" s="348">
        <v>41.88</v>
      </c>
    </row>
    <row r="79" spans="1:9" s="98" customFormat="1" ht="12.75">
      <c r="A79" s="137"/>
      <c r="B79" s="164"/>
      <c r="C79" s="168"/>
      <c r="D79" s="325"/>
      <c r="E79" s="328"/>
      <c r="F79" s="327"/>
      <c r="G79" s="328"/>
      <c r="H79" s="328"/>
      <c r="I79" s="348"/>
    </row>
    <row r="80" spans="1:9" s="61" customFormat="1" ht="12.75">
      <c r="A80" s="197">
        <v>7</v>
      </c>
      <c r="B80" s="201" t="s">
        <v>46</v>
      </c>
      <c r="C80" s="169" t="s">
        <v>21</v>
      </c>
      <c r="D80" s="329"/>
      <c r="E80" s="330"/>
      <c r="F80" s="327"/>
      <c r="G80" s="328"/>
      <c r="H80" s="330">
        <f>SUM(H81:H82)</f>
        <v>2366.7956</v>
      </c>
      <c r="I80" s="346"/>
    </row>
    <row r="81" spans="1:9" s="4" customFormat="1" ht="22.5">
      <c r="A81" s="137" t="s">
        <v>220</v>
      </c>
      <c r="B81" s="164" t="s">
        <v>239</v>
      </c>
      <c r="C81" s="168" t="s">
        <v>240</v>
      </c>
      <c r="D81" s="325" t="s">
        <v>12</v>
      </c>
      <c r="E81" s="328">
        <v>9103.06</v>
      </c>
      <c r="F81" s="327">
        <f t="shared" si="0"/>
        <v>0.21</v>
      </c>
      <c r="G81" s="328">
        <f t="shared" si="1"/>
        <v>0.26</v>
      </c>
      <c r="H81" s="328">
        <f>E81*G81</f>
        <v>2366.7956</v>
      </c>
      <c r="I81" s="327">
        <v>0.21</v>
      </c>
    </row>
    <row r="82" spans="1:8" s="4" customFormat="1" ht="12.75">
      <c r="A82" s="137"/>
      <c r="B82" s="203"/>
      <c r="C82" s="168"/>
      <c r="D82" s="334"/>
      <c r="E82" s="335"/>
      <c r="F82" s="336"/>
      <c r="G82" s="335"/>
      <c r="H82" s="328"/>
    </row>
    <row r="83" spans="1:8" s="4" customFormat="1" ht="12.75">
      <c r="A83" s="137"/>
      <c r="B83" s="203"/>
      <c r="C83" s="168"/>
      <c r="D83" s="334"/>
      <c r="E83" s="335"/>
      <c r="F83" s="336"/>
      <c r="G83" s="335"/>
      <c r="H83" s="328"/>
    </row>
    <row r="84" spans="1:8" s="4" customFormat="1" ht="12.75">
      <c r="A84" s="137"/>
      <c r="B84" s="203"/>
      <c r="C84" s="197" t="s">
        <v>161</v>
      </c>
      <c r="D84" s="334"/>
      <c r="E84" s="335"/>
      <c r="F84" s="336"/>
      <c r="G84" s="335"/>
      <c r="H84" s="328"/>
    </row>
    <row r="85" spans="1:8" s="4" customFormat="1" ht="12.75">
      <c r="A85" s="137"/>
      <c r="B85" s="203"/>
      <c r="C85" s="168"/>
      <c r="D85" s="334"/>
      <c r="E85" s="335"/>
      <c r="F85" s="336"/>
      <c r="G85" s="335"/>
      <c r="H85" s="328"/>
    </row>
    <row r="86" spans="1:8" s="4" customFormat="1" ht="12.75">
      <c r="A86" s="137"/>
      <c r="B86" s="203"/>
      <c r="C86" s="168" t="s">
        <v>174</v>
      </c>
      <c r="D86" s="325" t="s">
        <v>26</v>
      </c>
      <c r="E86" s="328" t="s">
        <v>65</v>
      </c>
      <c r="F86" s="327" t="s">
        <v>167</v>
      </c>
      <c r="G86" s="328" t="s">
        <v>175</v>
      </c>
      <c r="H86" s="328"/>
    </row>
    <row r="87" spans="1:8" s="4" customFormat="1" ht="12.75">
      <c r="A87" s="137"/>
      <c r="B87" s="203"/>
      <c r="C87" s="168"/>
      <c r="D87" s="334"/>
      <c r="E87" s="335"/>
      <c r="F87" s="336"/>
      <c r="G87" s="335"/>
      <c r="H87" s="328"/>
    </row>
    <row r="88" spans="1:8" s="4" customFormat="1" ht="45">
      <c r="A88" s="137" t="s">
        <v>159</v>
      </c>
      <c r="B88" s="164" t="s">
        <v>160</v>
      </c>
      <c r="C88" s="168" t="s">
        <v>242</v>
      </c>
      <c r="D88" s="334"/>
      <c r="E88" s="335"/>
      <c r="F88" s="336"/>
      <c r="G88" s="335"/>
      <c r="H88" s="328"/>
    </row>
    <row r="89" spans="1:8" s="4" customFormat="1" ht="12.75">
      <c r="A89" s="137"/>
      <c r="B89" s="164"/>
      <c r="C89" s="168"/>
      <c r="D89" s="334"/>
      <c r="E89" s="335"/>
      <c r="F89" s="336"/>
      <c r="G89" s="335"/>
      <c r="H89" s="328"/>
    </row>
    <row r="90" spans="1:8" s="4" customFormat="1" ht="22.5">
      <c r="A90" s="137"/>
      <c r="B90" s="164" t="s">
        <v>162</v>
      </c>
      <c r="C90" s="168" t="s">
        <v>165</v>
      </c>
      <c r="D90" s="325" t="s">
        <v>168</v>
      </c>
      <c r="E90" s="328">
        <v>1.1</v>
      </c>
      <c r="F90" s="327">
        <v>74.34</v>
      </c>
      <c r="G90" s="328">
        <f>E90*F90</f>
        <v>81.77400000000002</v>
      </c>
      <c r="H90" s="328"/>
    </row>
    <row r="91" spans="1:8" s="4" customFormat="1" ht="22.5">
      <c r="A91" s="137"/>
      <c r="B91" s="164" t="s">
        <v>172</v>
      </c>
      <c r="C91" s="168" t="s">
        <v>243</v>
      </c>
      <c r="D91" s="325" t="s">
        <v>169</v>
      </c>
      <c r="E91" s="328">
        <v>1.5</v>
      </c>
      <c r="F91" s="327">
        <v>16.47</v>
      </c>
      <c r="G91" s="328">
        <f>E91*F91</f>
        <v>24.705</v>
      </c>
      <c r="H91" s="328"/>
    </row>
    <row r="92" spans="1:8" s="4" customFormat="1" ht="12.75">
      <c r="A92" s="137"/>
      <c r="B92" s="164" t="s">
        <v>173</v>
      </c>
      <c r="C92" s="168" t="s">
        <v>244</v>
      </c>
      <c r="D92" s="325" t="s">
        <v>169</v>
      </c>
      <c r="E92" s="328">
        <v>0.75</v>
      </c>
      <c r="F92" s="327">
        <v>11.92</v>
      </c>
      <c r="G92" s="328">
        <f>E92*F92</f>
        <v>8.94</v>
      </c>
      <c r="H92" s="328"/>
    </row>
    <row r="93" spans="1:8" s="4" customFormat="1" ht="22.5">
      <c r="A93" s="137"/>
      <c r="B93" s="164" t="s">
        <v>163</v>
      </c>
      <c r="C93" s="168" t="s">
        <v>166</v>
      </c>
      <c r="D93" s="325" t="s">
        <v>170</v>
      </c>
      <c r="E93" s="328">
        <v>1</v>
      </c>
      <c r="F93" s="327">
        <v>33.65</v>
      </c>
      <c r="G93" s="328">
        <f>E93*F93*3%</f>
        <v>1.0094999999999998</v>
      </c>
      <c r="H93" s="328"/>
    </row>
    <row r="94" spans="1:8" s="4" customFormat="1" ht="12.75">
      <c r="A94" s="137"/>
      <c r="B94" s="164" t="s">
        <v>164</v>
      </c>
      <c r="C94" s="168" t="s">
        <v>245</v>
      </c>
      <c r="D94" s="325" t="s">
        <v>171</v>
      </c>
      <c r="E94" s="328">
        <v>0.03</v>
      </c>
      <c r="F94" s="327">
        <v>370.89</v>
      </c>
      <c r="G94" s="328">
        <f>E94*F94</f>
        <v>11.1267</v>
      </c>
      <c r="H94" s="328"/>
    </row>
    <row r="95" spans="1:8" s="4" customFormat="1" ht="12.75">
      <c r="A95" s="137"/>
      <c r="B95" s="203"/>
      <c r="C95" s="168"/>
      <c r="D95" s="334"/>
      <c r="E95" s="335"/>
      <c r="F95" s="336"/>
      <c r="G95" s="335"/>
      <c r="H95" s="328"/>
    </row>
    <row r="96" spans="1:11" s="4" customFormat="1" ht="12.75">
      <c r="A96" s="137"/>
      <c r="B96" s="203"/>
      <c r="C96" s="137" t="s">
        <v>29</v>
      </c>
      <c r="D96" s="334"/>
      <c r="E96" s="335"/>
      <c r="F96" s="336"/>
      <c r="G96" s="335">
        <f>SUM(G90:G95)</f>
        <v>127.55520000000001</v>
      </c>
      <c r="H96" s="328"/>
      <c r="K96" s="4" t="s">
        <v>429</v>
      </c>
    </row>
    <row r="97" spans="1:8" s="4" customFormat="1" ht="13.5" thickBot="1">
      <c r="A97" s="165"/>
      <c r="B97" s="204"/>
      <c r="C97" s="171"/>
      <c r="D97" s="334"/>
      <c r="E97" s="349"/>
      <c r="F97" s="336"/>
      <c r="G97" s="349"/>
      <c r="H97" s="349"/>
    </row>
    <row r="98" spans="1:8" ht="18" customHeight="1" thickBot="1">
      <c r="A98" s="717" t="s">
        <v>134</v>
      </c>
      <c r="B98" s="718"/>
      <c r="C98" s="718"/>
      <c r="D98" s="718"/>
      <c r="E98" s="718"/>
      <c r="F98" s="718"/>
      <c r="G98" s="719"/>
      <c r="H98" s="350">
        <f>H28+H31+H45+H59+H64+H72+H80</f>
        <v>570087.8586</v>
      </c>
    </row>
    <row r="99" spans="1:8" ht="12.75">
      <c r="A99" s="184"/>
      <c r="B99" s="5"/>
      <c r="C99" s="5"/>
      <c r="D99" s="184"/>
      <c r="E99" s="5"/>
      <c r="F99" s="161"/>
      <c r="G99" s="5"/>
      <c r="H99" s="184"/>
    </row>
    <row r="100" spans="1:8" ht="12.75">
      <c r="A100" s="720" t="s">
        <v>263</v>
      </c>
      <c r="B100" s="720"/>
      <c r="C100" s="720"/>
      <c r="D100" s="720"/>
      <c r="E100" s="720"/>
      <c r="F100" s="720"/>
      <c r="G100" s="720"/>
      <c r="H100" s="720"/>
    </row>
    <row r="101" spans="1:8" ht="12.75">
      <c r="A101" s="720" t="s">
        <v>264</v>
      </c>
      <c r="B101" s="720"/>
      <c r="C101" s="720"/>
      <c r="D101" s="720"/>
      <c r="E101" s="720"/>
      <c r="F101" s="720"/>
      <c r="G101" s="720"/>
      <c r="H101" s="720"/>
    </row>
    <row r="102" spans="1:8" ht="12.75">
      <c r="A102"/>
      <c r="B102"/>
      <c r="C102"/>
      <c r="D102"/>
      <c r="E102"/>
      <c r="F102"/>
      <c r="G102"/>
      <c r="H102" s="351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 s="9"/>
      <c r="G104" s="9"/>
      <c r="H104" s="9"/>
    </row>
    <row r="105" spans="1:8" ht="13.5" thickBot="1">
      <c r="A105"/>
      <c r="B105"/>
      <c r="C105" s="352"/>
      <c r="D105"/>
      <c r="E105"/>
      <c r="F105" s="721"/>
      <c r="G105" s="721"/>
      <c r="H105" s="721"/>
    </row>
    <row r="106" spans="1:8" ht="15.75">
      <c r="A106"/>
      <c r="B106"/>
      <c r="C106" s="353" t="s">
        <v>265</v>
      </c>
      <c r="D106"/>
      <c r="E106"/>
      <c r="F106" s="715"/>
      <c r="G106" s="715"/>
      <c r="H106" s="715"/>
    </row>
    <row r="107" spans="1:8" ht="15.75">
      <c r="A107"/>
      <c r="B107"/>
      <c r="C107" s="353" t="s">
        <v>266</v>
      </c>
      <c r="D107"/>
      <c r="E107"/>
      <c r="F107" s="715"/>
      <c r="G107" s="715"/>
      <c r="H107" s="715"/>
    </row>
    <row r="108" spans="1:8" ht="15.75">
      <c r="A108"/>
      <c r="B108"/>
      <c r="C108" s="353" t="s">
        <v>267</v>
      </c>
      <c r="D108"/>
      <c r="E108"/>
      <c r="F108" s="715"/>
      <c r="G108" s="715"/>
      <c r="H108" s="715"/>
    </row>
    <row r="109" spans="1:8" ht="15.75">
      <c r="A109"/>
      <c r="B109"/>
      <c r="C109" s="353" t="s">
        <v>268</v>
      </c>
      <c r="D109"/>
      <c r="E109"/>
      <c r="F109" s="354"/>
      <c r="G109" s="355"/>
      <c r="H109" s="355"/>
    </row>
    <row r="110" spans="1:8" ht="15.75">
      <c r="A110"/>
      <c r="B110"/>
      <c r="C110" s="353" t="s">
        <v>269</v>
      </c>
      <c r="D110"/>
      <c r="E110"/>
      <c r="F110" s="9"/>
      <c r="G110" s="9"/>
      <c r="H110" s="9"/>
    </row>
    <row r="111" spans="1:8" ht="15.75">
      <c r="A111"/>
      <c r="B111"/>
      <c r="C111" s="353" t="s">
        <v>270</v>
      </c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</sheetData>
  <sheetProtection password="D28B" sheet="1"/>
  <mergeCells count="21">
    <mergeCell ref="F107:H107"/>
    <mergeCell ref="F108:H108"/>
    <mergeCell ref="A25:H25"/>
    <mergeCell ref="A98:G98"/>
    <mergeCell ref="A100:H100"/>
    <mergeCell ref="A101:H101"/>
    <mergeCell ref="F105:H105"/>
    <mergeCell ref="F106:H106"/>
    <mergeCell ref="A22:D22"/>
    <mergeCell ref="E22:H22"/>
    <mergeCell ref="A23:D23"/>
    <mergeCell ref="E23:E24"/>
    <mergeCell ref="F23:F24"/>
    <mergeCell ref="A24:D24"/>
    <mergeCell ref="A17:H17"/>
    <mergeCell ref="A19:E19"/>
    <mergeCell ref="F19:H19"/>
    <mergeCell ref="A20:E20"/>
    <mergeCell ref="F20:H20"/>
    <mergeCell ref="A21:E21"/>
    <mergeCell ref="F21:H2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07"/>
  <sheetViews>
    <sheetView zoomScalePageLayoutView="0" workbookViewId="0" topLeftCell="BZ1">
      <selection activeCell="A1" sqref="A1:BY16384"/>
    </sheetView>
  </sheetViews>
  <sheetFormatPr defaultColWidth="11.421875" defaultRowHeight="12.75"/>
  <cols>
    <col min="1" max="25" width="2.7109375" style="396" hidden="1" customWidth="1"/>
    <col min="26" max="26" width="3.7109375" style="396" hidden="1" customWidth="1"/>
    <col min="27" max="49" width="2.7109375" style="396" hidden="1" customWidth="1"/>
    <col min="50" max="50" width="4.421875" style="396" hidden="1" customWidth="1"/>
    <col min="51" max="60" width="2.7109375" style="396" hidden="1" customWidth="1"/>
    <col min="61" max="61" width="5.28125" style="396" hidden="1" customWidth="1"/>
    <col min="62" max="69" width="2.7109375" style="396" hidden="1" customWidth="1"/>
    <col min="70" max="70" width="16.140625" style="509" hidden="1" customWidth="1"/>
    <col min="71" max="71" width="17.421875" style="509" hidden="1" customWidth="1"/>
    <col min="72" max="72" width="16.140625" style="509" hidden="1" customWidth="1"/>
    <col min="73" max="73" width="17.421875" style="509" hidden="1" customWidth="1"/>
    <col min="74" max="74" width="24.00390625" style="396" hidden="1" customWidth="1"/>
    <col min="75" max="75" width="16.7109375" style="397" hidden="1" customWidth="1"/>
    <col min="76" max="76" width="15.140625" style="397" hidden="1" customWidth="1"/>
    <col min="77" max="77" width="0" style="396" hidden="1" customWidth="1"/>
    <col min="78" max="16384" width="11.421875" style="396" customWidth="1"/>
  </cols>
  <sheetData>
    <row r="1" spans="1:67" ht="12.75" customHeight="1">
      <c r="A1" s="392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4"/>
      <c r="BL1" s="394"/>
      <c r="BM1" s="394"/>
      <c r="BN1" s="395"/>
      <c r="BO1" s="392"/>
    </row>
    <row r="2" spans="1:67" ht="12.75" customHeight="1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8" t="s">
        <v>275</v>
      </c>
      <c r="BK2" s="399"/>
      <c r="BL2" s="399"/>
      <c r="BM2" s="399"/>
      <c r="BN2" s="400"/>
      <c r="BO2" s="392"/>
    </row>
    <row r="3" spans="1:67" ht="12.75" customHeight="1">
      <c r="A3" s="392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401"/>
      <c r="X3" s="393"/>
      <c r="Y3" s="393"/>
      <c r="Z3" s="402" t="s">
        <v>276</v>
      </c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403" t="s">
        <v>277</v>
      </c>
      <c r="BK3" s="404"/>
      <c r="BL3" s="404"/>
      <c r="BM3" s="404"/>
      <c r="BN3" s="405"/>
      <c r="BO3" s="392"/>
    </row>
    <row r="4" spans="1:67" ht="6.75" customHeight="1">
      <c r="A4" s="392"/>
      <c r="B4" s="393"/>
      <c r="C4" s="393"/>
      <c r="D4" s="393"/>
      <c r="E4" s="393"/>
      <c r="F4" s="406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2"/>
    </row>
    <row r="5" spans="1:67" ht="6" customHeight="1">
      <c r="A5" s="392"/>
      <c r="B5" s="393"/>
      <c r="C5" s="393"/>
      <c r="D5" s="393"/>
      <c r="E5" s="393"/>
      <c r="F5" s="406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1"/>
      <c r="AY5" s="1"/>
      <c r="AZ5" s="1"/>
      <c r="BA5" s="393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2"/>
    </row>
    <row r="6" spans="1:67" ht="12.75" customHeight="1">
      <c r="A6" s="392"/>
      <c r="B6" s="407" t="s">
        <v>278</v>
      </c>
      <c r="C6" s="394"/>
      <c r="D6" s="394"/>
      <c r="E6" s="394"/>
      <c r="F6" s="394"/>
      <c r="G6" s="394"/>
      <c r="H6" s="394"/>
      <c r="I6" s="393"/>
      <c r="J6" s="393"/>
      <c r="K6" s="394"/>
      <c r="L6" s="394"/>
      <c r="M6" s="393"/>
      <c r="N6" s="393"/>
      <c r="O6" s="393"/>
      <c r="P6" s="393"/>
      <c r="Q6" s="395"/>
      <c r="R6" s="408"/>
      <c r="S6" s="393"/>
      <c r="T6" s="407" t="s">
        <v>279</v>
      </c>
      <c r="U6" s="393"/>
      <c r="V6" s="393"/>
      <c r="W6" s="393"/>
      <c r="X6" s="394"/>
      <c r="Y6" s="394"/>
      <c r="Z6" s="407" t="s">
        <v>280</v>
      </c>
      <c r="AA6" s="393"/>
      <c r="AB6" s="393"/>
      <c r="AC6" s="394"/>
      <c r="AD6" s="394"/>
      <c r="AE6" s="394"/>
      <c r="AF6" s="393"/>
      <c r="AG6" s="407" t="s">
        <v>281</v>
      </c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408"/>
      <c r="AY6" s="393"/>
      <c r="AZ6" s="407" t="s">
        <v>282</v>
      </c>
      <c r="BA6" s="393"/>
      <c r="BB6" s="394"/>
      <c r="BC6" s="393"/>
      <c r="BD6" s="395"/>
      <c r="BE6" s="394"/>
      <c r="BF6" s="393"/>
      <c r="BG6" s="393"/>
      <c r="BH6" s="394"/>
      <c r="BI6" s="393"/>
      <c r="BJ6" s="407" t="s">
        <v>283</v>
      </c>
      <c r="BK6" s="408"/>
      <c r="BL6" s="394"/>
      <c r="BM6" s="393"/>
      <c r="BN6" s="408"/>
      <c r="BO6" s="392"/>
    </row>
    <row r="7" spans="1:67" ht="13.5" customHeight="1">
      <c r="A7" s="392"/>
      <c r="B7" s="738" t="s">
        <v>284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40"/>
      <c r="S7" s="393"/>
      <c r="T7" s="731">
        <v>2</v>
      </c>
      <c r="U7" s="732"/>
      <c r="V7" s="732"/>
      <c r="W7" s="732"/>
      <c r="X7" s="732"/>
      <c r="Y7" s="733"/>
      <c r="Z7" s="734">
        <v>43284</v>
      </c>
      <c r="AA7" s="734"/>
      <c r="AB7" s="734"/>
      <c r="AC7" s="734"/>
      <c r="AD7" s="734"/>
      <c r="AE7" s="409"/>
      <c r="AF7" s="410"/>
      <c r="AG7" s="411" t="s">
        <v>285</v>
      </c>
      <c r="AH7" s="726">
        <v>42843</v>
      </c>
      <c r="AI7" s="726"/>
      <c r="AJ7" s="726"/>
      <c r="AK7" s="726"/>
      <c r="AL7" s="726"/>
      <c r="AM7" s="409"/>
      <c r="AN7" s="413" t="s">
        <v>286</v>
      </c>
      <c r="AO7" s="414"/>
      <c r="AP7" s="734">
        <v>43284</v>
      </c>
      <c r="AQ7" s="734"/>
      <c r="AR7" s="734"/>
      <c r="AS7" s="734"/>
      <c r="AT7" s="734"/>
      <c r="AU7" s="409"/>
      <c r="AV7" s="409"/>
      <c r="AW7" s="409"/>
      <c r="AX7" s="415"/>
      <c r="AY7" s="393"/>
      <c r="AZ7" s="735" t="s">
        <v>287</v>
      </c>
      <c r="BA7" s="736"/>
      <c r="BB7" s="736"/>
      <c r="BC7" s="736"/>
      <c r="BD7" s="736"/>
      <c r="BE7" s="736"/>
      <c r="BF7" s="736"/>
      <c r="BG7" s="736"/>
      <c r="BH7" s="736"/>
      <c r="BI7" s="737"/>
      <c r="BJ7" s="725">
        <v>42339</v>
      </c>
      <c r="BK7" s="726"/>
      <c r="BL7" s="726"/>
      <c r="BM7" s="726"/>
      <c r="BN7" s="730"/>
      <c r="BO7" s="392"/>
    </row>
    <row r="8" spans="1:67" ht="6.75" customHeight="1">
      <c r="A8" s="392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5"/>
      <c r="R8" s="393"/>
      <c r="S8" s="416"/>
      <c r="T8" s="416"/>
      <c r="U8" s="416"/>
      <c r="V8" s="416"/>
      <c r="W8" s="417"/>
      <c r="X8" s="417"/>
      <c r="Y8" s="416"/>
      <c r="Z8" s="416"/>
      <c r="AA8" s="416"/>
      <c r="AB8" s="416"/>
      <c r="AC8" s="416"/>
      <c r="AD8" s="416"/>
      <c r="AE8" s="416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2"/>
    </row>
    <row r="9" spans="1:67" ht="12.75" customHeight="1">
      <c r="A9" s="392"/>
      <c r="B9" s="407" t="s">
        <v>288</v>
      </c>
      <c r="C9" s="393"/>
      <c r="D9" s="393"/>
      <c r="E9" s="393"/>
      <c r="F9" s="393"/>
      <c r="G9" s="393"/>
      <c r="H9" s="394"/>
      <c r="I9" s="407"/>
      <c r="J9" s="407" t="s">
        <v>289</v>
      </c>
      <c r="K9" s="394"/>
      <c r="L9" s="393"/>
      <c r="M9" s="393"/>
      <c r="N9" s="393"/>
      <c r="O9" s="393"/>
      <c r="P9" s="393"/>
      <c r="Q9" s="395"/>
      <c r="R9" s="408"/>
      <c r="S9" s="393"/>
      <c r="T9" s="407" t="s">
        <v>290</v>
      </c>
      <c r="U9" s="393"/>
      <c r="V9" s="393"/>
      <c r="W9" s="393"/>
      <c r="X9" s="394"/>
      <c r="Y9" s="394"/>
      <c r="Z9" s="394"/>
      <c r="AA9" s="393"/>
      <c r="AB9" s="394"/>
      <c r="AC9" s="394"/>
      <c r="AD9" s="394"/>
      <c r="AE9" s="393"/>
      <c r="AF9" s="393"/>
      <c r="AG9" s="393"/>
      <c r="AH9" s="393"/>
      <c r="AI9" s="393"/>
      <c r="AJ9" s="393"/>
      <c r="AK9" s="393"/>
      <c r="AL9" s="394"/>
      <c r="AM9" s="394"/>
      <c r="AN9" s="393"/>
      <c r="AO9" s="393"/>
      <c r="AP9" s="393"/>
      <c r="AQ9" s="394" t="s">
        <v>291</v>
      </c>
      <c r="AR9" s="393"/>
      <c r="AS9" s="393"/>
      <c r="AT9" s="393"/>
      <c r="AU9" s="393"/>
      <c r="AV9" s="393"/>
      <c r="AW9" s="393"/>
      <c r="AX9" s="408"/>
      <c r="AY9" s="393"/>
      <c r="AZ9" s="418" t="str">
        <f>IF($BB$16&lt;&gt;"","Tomador",IF($BE$16&lt;&gt;"","Tomador/Ag. Promotor","Tomador/Ag.Promotor ou Tomador "))</f>
        <v>Tomador</v>
      </c>
      <c r="BA9" s="393"/>
      <c r="BB9" s="394"/>
      <c r="BC9" s="393"/>
      <c r="BD9" s="394"/>
      <c r="BE9" s="394"/>
      <c r="BF9" s="394"/>
      <c r="BG9" s="394"/>
      <c r="BH9" s="394"/>
      <c r="BI9" s="394"/>
      <c r="BJ9" s="394"/>
      <c r="BK9" s="393"/>
      <c r="BL9" s="393"/>
      <c r="BM9" s="393"/>
      <c r="BN9" s="408"/>
      <c r="BO9" s="392"/>
    </row>
    <row r="10" spans="1:67" ht="13.5" customHeight="1">
      <c r="A10" s="392"/>
      <c r="B10" s="725">
        <v>42731</v>
      </c>
      <c r="C10" s="726"/>
      <c r="D10" s="726"/>
      <c r="E10" s="726"/>
      <c r="F10" s="726"/>
      <c r="G10" s="419"/>
      <c r="H10" s="419"/>
      <c r="I10" s="407"/>
      <c r="J10" s="725">
        <v>43212</v>
      </c>
      <c r="K10" s="726"/>
      <c r="L10" s="726"/>
      <c r="M10" s="726"/>
      <c r="N10" s="726"/>
      <c r="O10" s="412"/>
      <c r="P10" s="404"/>
      <c r="Q10" s="419"/>
      <c r="R10" s="420"/>
      <c r="S10" s="393"/>
      <c r="T10" s="421" t="s">
        <v>292</v>
      </c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3"/>
      <c r="AL10" s="423"/>
      <c r="AM10" s="423"/>
      <c r="AN10" s="412"/>
      <c r="AO10" s="412"/>
      <c r="AP10" s="412"/>
      <c r="AQ10" s="725" t="s">
        <v>293</v>
      </c>
      <c r="AR10" s="726"/>
      <c r="AS10" s="726"/>
      <c r="AT10" s="726"/>
      <c r="AU10" s="726"/>
      <c r="AV10" s="726"/>
      <c r="AW10" s="726"/>
      <c r="AX10" s="730"/>
      <c r="AY10" s="393"/>
      <c r="AZ10" s="725" t="s">
        <v>294</v>
      </c>
      <c r="BA10" s="726"/>
      <c r="BB10" s="726"/>
      <c r="BC10" s="726"/>
      <c r="BD10" s="726"/>
      <c r="BE10" s="726"/>
      <c r="BF10" s="726"/>
      <c r="BG10" s="726"/>
      <c r="BH10" s="726"/>
      <c r="BI10" s="726"/>
      <c r="BJ10" s="726"/>
      <c r="BK10" s="726"/>
      <c r="BL10" s="726"/>
      <c r="BM10" s="726"/>
      <c r="BN10" s="730"/>
      <c r="BO10" s="392"/>
    </row>
    <row r="11" spans="1:67" ht="6.75" customHeight="1">
      <c r="A11" s="392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5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4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2"/>
    </row>
    <row r="12" spans="1:67" ht="12.75" customHeight="1">
      <c r="A12" s="392"/>
      <c r="B12" s="407" t="s">
        <v>295</v>
      </c>
      <c r="C12" s="394"/>
      <c r="D12" s="394"/>
      <c r="E12" s="394"/>
      <c r="F12" s="393"/>
      <c r="G12" s="394"/>
      <c r="H12" s="393"/>
      <c r="I12" s="393"/>
      <c r="J12" s="394"/>
      <c r="K12" s="394"/>
      <c r="L12" s="407" t="s">
        <v>296</v>
      </c>
      <c r="M12" s="393"/>
      <c r="N12" s="394"/>
      <c r="O12" s="394"/>
      <c r="P12" s="393"/>
      <c r="Q12" s="395"/>
      <c r="R12" s="408"/>
      <c r="S12" s="394"/>
      <c r="T12" s="407" t="s">
        <v>297</v>
      </c>
      <c r="U12" s="394"/>
      <c r="V12" s="394"/>
      <c r="W12" s="394"/>
      <c r="X12" s="394"/>
      <c r="Y12" s="394"/>
      <c r="Z12" s="394"/>
      <c r="AA12" s="394"/>
      <c r="AB12" s="417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408"/>
      <c r="AY12" s="393"/>
      <c r="AZ12" s="424" t="str">
        <f>IF(BB16&lt;&gt;"","Agente Operador - Repasse",IF(BE16&lt;&gt;"","Agente Financeiro","Agente Financeiro ou Ag. Operador Repasse"))</f>
        <v>Agente Operador - Repasse</v>
      </c>
      <c r="BA12" s="393"/>
      <c r="BB12" s="394"/>
      <c r="BC12" s="393"/>
      <c r="BD12" s="394"/>
      <c r="BE12" s="394"/>
      <c r="BF12" s="394"/>
      <c r="BG12" s="394"/>
      <c r="BH12" s="394"/>
      <c r="BI12" s="394"/>
      <c r="BJ12" s="394"/>
      <c r="BK12" s="393"/>
      <c r="BL12" s="393"/>
      <c r="BM12" s="393"/>
      <c r="BN12" s="408"/>
      <c r="BO12" s="392"/>
    </row>
    <row r="13" spans="1:67" ht="13.5" customHeight="1">
      <c r="A13" s="392"/>
      <c r="B13" s="722">
        <f>'[1]QCI LICITAÇÃO'!H46</f>
        <v>570087.8586000002</v>
      </c>
      <c r="C13" s="723"/>
      <c r="D13" s="723"/>
      <c r="E13" s="723"/>
      <c r="F13" s="723"/>
      <c r="G13" s="723"/>
      <c r="H13" s="723"/>
      <c r="I13" s="723"/>
      <c r="J13" s="723"/>
      <c r="K13" s="724"/>
      <c r="L13" s="725">
        <v>42181</v>
      </c>
      <c r="M13" s="726"/>
      <c r="N13" s="726"/>
      <c r="O13" s="726"/>
      <c r="P13" s="726"/>
      <c r="Q13" s="419"/>
      <c r="R13" s="420"/>
      <c r="S13" s="425"/>
      <c r="T13" s="727" t="s">
        <v>298</v>
      </c>
      <c r="U13" s="728"/>
      <c r="V13" s="728"/>
      <c r="W13" s="728"/>
      <c r="X13" s="728"/>
      <c r="Y13" s="728"/>
      <c r="Z13" s="728"/>
      <c r="AA13" s="728"/>
      <c r="AB13" s="728"/>
      <c r="AC13" s="728"/>
      <c r="AD13" s="728"/>
      <c r="AE13" s="728"/>
      <c r="AF13" s="728"/>
      <c r="AG13" s="728"/>
      <c r="AH13" s="728"/>
      <c r="AI13" s="728"/>
      <c r="AJ13" s="728"/>
      <c r="AK13" s="728"/>
      <c r="AL13" s="728"/>
      <c r="AM13" s="728"/>
      <c r="AN13" s="728"/>
      <c r="AO13" s="728"/>
      <c r="AP13" s="728"/>
      <c r="AQ13" s="728"/>
      <c r="AR13" s="728"/>
      <c r="AS13" s="728"/>
      <c r="AT13" s="728"/>
      <c r="AU13" s="728"/>
      <c r="AV13" s="728"/>
      <c r="AW13" s="728"/>
      <c r="AX13" s="729"/>
      <c r="AY13" s="393"/>
      <c r="AZ13" s="726" t="s">
        <v>299</v>
      </c>
      <c r="BA13" s="726"/>
      <c r="BB13" s="726"/>
      <c r="BC13" s="726"/>
      <c r="BD13" s="726"/>
      <c r="BE13" s="726"/>
      <c r="BF13" s="726"/>
      <c r="BG13" s="726"/>
      <c r="BH13" s="726"/>
      <c r="BI13" s="726"/>
      <c r="BJ13" s="726"/>
      <c r="BK13" s="726"/>
      <c r="BL13" s="726"/>
      <c r="BM13" s="726"/>
      <c r="BN13" s="730"/>
      <c r="BO13" s="392"/>
    </row>
    <row r="14" spans="1:67" ht="6.75" customHeight="1">
      <c r="A14" s="392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16"/>
      <c r="N14" s="416"/>
      <c r="O14" s="416"/>
      <c r="P14" s="393"/>
      <c r="Q14" s="395"/>
      <c r="R14" s="416"/>
      <c r="S14" s="427"/>
      <c r="T14" s="427"/>
      <c r="U14" s="427"/>
      <c r="V14" s="427"/>
      <c r="W14" s="427"/>
      <c r="X14" s="427"/>
      <c r="Y14" s="427"/>
      <c r="Z14" s="394"/>
      <c r="AA14" s="417"/>
      <c r="AB14" s="417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416"/>
      <c r="BA14" s="416"/>
      <c r="BB14" s="416"/>
      <c r="BC14" s="427"/>
      <c r="BD14" s="427"/>
      <c r="BE14" s="427"/>
      <c r="BF14" s="427"/>
      <c r="BG14" s="427"/>
      <c r="BH14" s="427"/>
      <c r="BI14" s="427"/>
      <c r="BJ14" s="427"/>
      <c r="BK14" s="393"/>
      <c r="BL14" s="393"/>
      <c r="BM14" s="393"/>
      <c r="BN14" s="417"/>
      <c r="BO14" s="392"/>
    </row>
    <row r="15" spans="1:67" ht="12.75" customHeight="1">
      <c r="A15" s="392"/>
      <c r="B15" s="407" t="s">
        <v>300</v>
      </c>
      <c r="C15" s="394"/>
      <c r="D15" s="394"/>
      <c r="E15" s="394"/>
      <c r="F15" s="393"/>
      <c r="G15" s="394"/>
      <c r="H15" s="393"/>
      <c r="I15" s="393"/>
      <c r="J15" s="394"/>
      <c r="K15" s="394"/>
      <c r="L15" s="407" t="s">
        <v>301</v>
      </c>
      <c r="M15" s="393"/>
      <c r="N15" s="394"/>
      <c r="O15" s="394"/>
      <c r="P15" s="393"/>
      <c r="Q15" s="395"/>
      <c r="R15" s="408"/>
      <c r="S15" s="428"/>
      <c r="T15" s="407" t="s">
        <v>302</v>
      </c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408"/>
      <c r="AY15" s="393"/>
      <c r="AZ15" s="407" t="s">
        <v>303</v>
      </c>
      <c r="BA15" s="393"/>
      <c r="BB15" s="394"/>
      <c r="BC15" s="393"/>
      <c r="BD15" s="394"/>
      <c r="BE15" s="394"/>
      <c r="BF15" s="394"/>
      <c r="BG15" s="394"/>
      <c r="BH15" s="394"/>
      <c r="BI15" s="394" t="s">
        <v>304</v>
      </c>
      <c r="BJ15" s="394"/>
      <c r="BK15" s="393"/>
      <c r="BL15" s="393"/>
      <c r="BM15" s="393"/>
      <c r="BN15" s="408"/>
      <c r="BO15" s="392"/>
    </row>
    <row r="16" spans="1:67" ht="13.5" customHeight="1">
      <c r="A16" s="392"/>
      <c r="B16" s="722">
        <f>B13</f>
        <v>570087.8586000002</v>
      </c>
      <c r="C16" s="723"/>
      <c r="D16" s="723"/>
      <c r="E16" s="723"/>
      <c r="F16" s="723"/>
      <c r="G16" s="723"/>
      <c r="H16" s="723"/>
      <c r="I16" s="723"/>
      <c r="J16" s="723"/>
      <c r="K16" s="724"/>
      <c r="L16" s="725" t="s">
        <v>46</v>
      </c>
      <c r="M16" s="726"/>
      <c r="N16" s="726"/>
      <c r="O16" s="726"/>
      <c r="P16" s="726"/>
      <c r="Q16" s="726"/>
      <c r="R16" s="429"/>
      <c r="S16" s="430"/>
      <c r="T16" s="431" t="s">
        <v>305</v>
      </c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4"/>
      <c r="AY16" s="393"/>
      <c r="AZ16" s="435"/>
      <c r="BA16" s="393"/>
      <c r="BB16" s="436" t="s">
        <v>306</v>
      </c>
      <c r="BC16" s="394" t="s">
        <v>307</v>
      </c>
      <c r="BD16" s="393"/>
      <c r="BE16" s="436"/>
      <c r="BF16" s="394" t="s">
        <v>308</v>
      </c>
      <c r="BG16" s="394"/>
      <c r="BH16" s="437"/>
      <c r="BI16" s="438"/>
      <c r="BJ16" s="438"/>
      <c r="BK16" s="438"/>
      <c r="BL16" s="438"/>
      <c r="BM16" s="438"/>
      <c r="BN16" s="429"/>
      <c r="BO16" s="392"/>
    </row>
    <row r="17" spans="1:67" ht="6.75" customHeight="1">
      <c r="A17" s="392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393"/>
      <c r="AY17" s="417"/>
      <c r="AZ17" s="417"/>
      <c r="BA17" s="416"/>
      <c r="BB17" s="416"/>
      <c r="BC17" s="416"/>
      <c r="BD17" s="416"/>
      <c r="BE17" s="416"/>
      <c r="BF17" s="417"/>
      <c r="BG17" s="417"/>
      <c r="BH17" s="416"/>
      <c r="BI17" s="416"/>
      <c r="BJ17" s="416"/>
      <c r="BK17" s="416"/>
      <c r="BL17" s="416"/>
      <c r="BM17" s="416"/>
      <c r="BN17" s="416"/>
      <c r="BO17" s="392"/>
    </row>
    <row r="18" spans="1:67" ht="12.75" customHeight="1">
      <c r="A18" s="392"/>
      <c r="B18" s="439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741" t="s">
        <v>309</v>
      </c>
      <c r="X18" s="742"/>
      <c r="Y18" s="742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3"/>
      <c r="AK18" s="741" t="s">
        <v>310</v>
      </c>
      <c r="AL18" s="742"/>
      <c r="AM18" s="742"/>
      <c r="AN18" s="742"/>
      <c r="AO18" s="742"/>
      <c r="AP18" s="742"/>
      <c r="AQ18" s="742"/>
      <c r="AR18" s="742"/>
      <c r="AS18" s="742"/>
      <c r="AT18" s="742"/>
      <c r="AU18" s="742"/>
      <c r="AV18" s="742"/>
      <c r="AW18" s="742"/>
      <c r="AX18" s="742"/>
      <c r="AY18" s="743"/>
      <c r="AZ18" s="741" t="s">
        <v>311</v>
      </c>
      <c r="BA18" s="742"/>
      <c r="BB18" s="742"/>
      <c r="BC18" s="742"/>
      <c r="BD18" s="742"/>
      <c r="BE18" s="742"/>
      <c r="BF18" s="742"/>
      <c r="BG18" s="742"/>
      <c r="BH18" s="742"/>
      <c r="BI18" s="742"/>
      <c r="BJ18" s="742"/>
      <c r="BK18" s="742"/>
      <c r="BL18" s="742"/>
      <c r="BM18" s="742"/>
      <c r="BN18" s="743"/>
      <c r="BO18" s="392"/>
    </row>
    <row r="19" spans="1:76" ht="12.75" customHeight="1">
      <c r="A19" s="392"/>
      <c r="B19" s="744" t="s">
        <v>312</v>
      </c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6"/>
      <c r="W19" s="747" t="s">
        <v>313</v>
      </c>
      <c r="X19" s="748"/>
      <c r="Y19" s="442" t="s">
        <v>314</v>
      </c>
      <c r="Z19" s="443"/>
      <c r="AA19" s="441"/>
      <c r="AB19" s="444" t="s">
        <v>315</v>
      </c>
      <c r="AC19" s="445"/>
      <c r="AD19" s="445"/>
      <c r="AE19" s="446"/>
      <c r="AF19" s="745" t="s">
        <v>315</v>
      </c>
      <c r="AG19" s="745"/>
      <c r="AH19" s="745"/>
      <c r="AI19" s="745"/>
      <c r="AJ19" s="746"/>
      <c r="AK19" s="751" t="s">
        <v>316</v>
      </c>
      <c r="AL19" s="752"/>
      <c r="AM19" s="752"/>
      <c r="AN19" s="752"/>
      <c r="AO19" s="753"/>
      <c r="AP19" s="754" t="s">
        <v>317</v>
      </c>
      <c r="AQ19" s="755"/>
      <c r="AR19" s="755"/>
      <c r="AS19" s="755"/>
      <c r="AT19" s="756"/>
      <c r="AU19" s="757" t="s">
        <v>318</v>
      </c>
      <c r="AV19" s="758"/>
      <c r="AW19" s="758"/>
      <c r="AX19" s="758"/>
      <c r="AY19" s="759"/>
      <c r="AZ19" s="751" t="s">
        <v>319</v>
      </c>
      <c r="BA19" s="752"/>
      <c r="BB19" s="752"/>
      <c r="BC19" s="752"/>
      <c r="BD19" s="753"/>
      <c r="BE19" s="754" t="s">
        <v>320</v>
      </c>
      <c r="BF19" s="755"/>
      <c r="BG19" s="755"/>
      <c r="BH19" s="755"/>
      <c r="BI19" s="756"/>
      <c r="BJ19" s="754" t="s">
        <v>321</v>
      </c>
      <c r="BK19" s="755"/>
      <c r="BL19" s="755"/>
      <c r="BM19" s="755"/>
      <c r="BN19" s="756"/>
      <c r="BO19" s="392"/>
      <c r="BR19" s="509" t="s">
        <v>322</v>
      </c>
      <c r="BS19" s="509" t="s">
        <v>323</v>
      </c>
      <c r="BT19" s="509" t="s">
        <v>322</v>
      </c>
      <c r="BU19" s="509" t="s">
        <v>323</v>
      </c>
      <c r="BW19" s="447" t="s">
        <v>324</v>
      </c>
      <c r="BX19" s="447" t="s">
        <v>325</v>
      </c>
    </row>
    <row r="20" spans="1:67" ht="12.75" customHeight="1">
      <c r="A20" s="392"/>
      <c r="B20" s="448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749"/>
      <c r="X20" s="750"/>
      <c r="Y20" s="450"/>
      <c r="Z20" s="452"/>
      <c r="AA20" s="451"/>
      <c r="AB20" s="453" t="s">
        <v>326</v>
      </c>
      <c r="AC20" s="454"/>
      <c r="AD20" s="454"/>
      <c r="AE20" s="455"/>
      <c r="AF20" s="760" t="s">
        <v>327</v>
      </c>
      <c r="AG20" s="760"/>
      <c r="AH20" s="760"/>
      <c r="AI20" s="760"/>
      <c r="AJ20" s="761"/>
      <c r="AK20" s="762" t="s">
        <v>328</v>
      </c>
      <c r="AL20" s="763"/>
      <c r="AM20" s="763"/>
      <c r="AN20" s="763"/>
      <c r="AO20" s="764"/>
      <c r="AP20" s="765" t="s">
        <v>329</v>
      </c>
      <c r="AQ20" s="766"/>
      <c r="AR20" s="766"/>
      <c r="AS20" s="766"/>
      <c r="AT20" s="767"/>
      <c r="AU20" s="744" t="s">
        <v>330</v>
      </c>
      <c r="AV20" s="745"/>
      <c r="AW20" s="745"/>
      <c r="AX20" s="745"/>
      <c r="AY20" s="746"/>
      <c r="AZ20" s="762" t="s">
        <v>331</v>
      </c>
      <c r="BA20" s="763"/>
      <c r="BB20" s="763"/>
      <c r="BC20" s="763"/>
      <c r="BD20" s="764"/>
      <c r="BE20" s="765" t="s">
        <v>332</v>
      </c>
      <c r="BF20" s="766"/>
      <c r="BG20" s="766"/>
      <c r="BH20" s="766"/>
      <c r="BI20" s="767"/>
      <c r="BJ20" s="768" t="s">
        <v>332</v>
      </c>
      <c r="BK20" s="769"/>
      <c r="BL20" s="769"/>
      <c r="BM20" s="769"/>
      <c r="BN20" s="770"/>
      <c r="BO20" s="392"/>
    </row>
    <row r="21" spans="1:67" ht="12">
      <c r="A21" s="392"/>
      <c r="B21" s="771"/>
      <c r="C21" s="771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1"/>
      <c r="X21" s="771"/>
      <c r="Y21" s="773"/>
      <c r="Z21" s="774"/>
      <c r="AA21" s="775"/>
      <c r="AB21" s="776"/>
      <c r="AC21" s="777"/>
      <c r="AD21" s="777"/>
      <c r="AE21" s="778"/>
      <c r="AF21" s="779"/>
      <c r="AG21" s="780"/>
      <c r="AH21" s="780"/>
      <c r="AI21" s="780"/>
      <c r="AJ21" s="780"/>
      <c r="AK21" s="781"/>
      <c r="AL21" s="782"/>
      <c r="AM21" s="782"/>
      <c r="AN21" s="782"/>
      <c r="AO21" s="783"/>
      <c r="AP21" s="784"/>
      <c r="AQ21" s="784"/>
      <c r="AR21" s="784"/>
      <c r="AS21" s="784"/>
      <c r="AT21" s="784"/>
      <c r="AU21" s="785"/>
      <c r="AV21" s="785"/>
      <c r="AW21" s="785"/>
      <c r="AX21" s="785"/>
      <c r="AY21" s="785"/>
      <c r="AZ21" s="786"/>
      <c r="BA21" s="786"/>
      <c r="BB21" s="786"/>
      <c r="BC21" s="786"/>
      <c r="BD21" s="786"/>
      <c r="BE21" s="786"/>
      <c r="BF21" s="786"/>
      <c r="BG21" s="786"/>
      <c r="BH21" s="786"/>
      <c r="BI21" s="786"/>
      <c r="BJ21" s="786"/>
      <c r="BK21" s="786"/>
      <c r="BL21" s="786"/>
      <c r="BM21" s="786"/>
      <c r="BN21" s="786"/>
      <c r="BO21" s="392"/>
    </row>
    <row r="22" spans="1:76" s="457" customFormat="1" ht="12">
      <c r="A22" s="456"/>
      <c r="B22" s="787">
        <f>'[1]PLANILHA CONTRATO'!A28</f>
        <v>1</v>
      </c>
      <c r="C22" s="787"/>
      <c r="D22" s="788" t="str">
        <f>'[1]PLANILHA CONTRATO'!C28</f>
        <v>INSTALAÇÕES INICIAIS</v>
      </c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9"/>
      <c r="X22" s="790"/>
      <c r="Y22" s="791"/>
      <c r="Z22" s="792"/>
      <c r="AA22" s="793"/>
      <c r="AB22" s="794"/>
      <c r="AC22" s="795"/>
      <c r="AD22" s="795"/>
      <c r="AE22" s="796"/>
      <c r="AF22" s="797"/>
      <c r="AG22" s="798"/>
      <c r="AH22" s="798"/>
      <c r="AI22" s="798"/>
      <c r="AJ22" s="798"/>
      <c r="AK22" s="799"/>
      <c r="AL22" s="800"/>
      <c r="AM22" s="800"/>
      <c r="AN22" s="800"/>
      <c r="AO22" s="801"/>
      <c r="AP22" s="802"/>
      <c r="AQ22" s="802"/>
      <c r="AR22" s="802"/>
      <c r="AS22" s="802"/>
      <c r="AT22" s="802"/>
      <c r="AU22" s="803"/>
      <c r="AV22" s="803"/>
      <c r="AW22" s="803"/>
      <c r="AX22" s="803"/>
      <c r="AY22" s="803"/>
      <c r="AZ22" s="804"/>
      <c r="BA22" s="804"/>
      <c r="BB22" s="804"/>
      <c r="BC22" s="804"/>
      <c r="BD22" s="804"/>
      <c r="BE22" s="804"/>
      <c r="BF22" s="804"/>
      <c r="BG22" s="804"/>
      <c r="BH22" s="804"/>
      <c r="BI22" s="804"/>
      <c r="BJ22" s="804"/>
      <c r="BK22" s="804"/>
      <c r="BL22" s="804"/>
      <c r="BM22" s="804"/>
      <c r="BN22" s="804"/>
      <c r="BO22" s="456"/>
      <c r="BR22" s="509"/>
      <c r="BS22" s="509"/>
      <c r="BT22" s="509"/>
      <c r="BU22" s="509"/>
      <c r="BW22" s="458">
        <f>SUM(BE23)</f>
        <v>0</v>
      </c>
      <c r="BX22" s="458">
        <f>SUM(BJ23)</f>
        <v>933.83</v>
      </c>
    </row>
    <row r="23" spans="1:76" s="460" customFormat="1" ht="12">
      <c r="A23" s="459"/>
      <c r="B23" s="805" t="str">
        <f>'[1]PLANILHA CONTRATO'!A29</f>
        <v>1.1</v>
      </c>
      <c r="C23" s="805"/>
      <c r="D23" s="806" t="str">
        <f>'[1]PLANILHA CONTRATO'!C29</f>
        <v>PLACA DE OBRA EM CHAPA DE ACO GALVANIZADO</v>
      </c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7" t="str">
        <f>'[1]PLANILHA CONTRATO'!D29</f>
        <v>M2</v>
      </c>
      <c r="X23" s="808"/>
      <c r="Y23" s="809">
        <f>'[1]PLANILHA CONTRATO'!E29</f>
        <v>2.5</v>
      </c>
      <c r="Z23" s="810"/>
      <c r="AA23" s="811"/>
      <c r="AB23" s="776">
        <f>'[1]PLANILHA CONTRATO'!G29</f>
        <v>373.53</v>
      </c>
      <c r="AC23" s="777"/>
      <c r="AD23" s="777"/>
      <c r="AE23" s="778"/>
      <c r="AF23" s="779">
        <f>ROUND(AB23*Y23,2)</f>
        <v>933.83</v>
      </c>
      <c r="AG23" s="780"/>
      <c r="AH23" s="780"/>
      <c r="AI23" s="780"/>
      <c r="AJ23" s="780"/>
      <c r="AK23" s="812">
        <f>'[1]BM Nº03 + BM Nº01_CAIXA'!AU23</f>
        <v>1</v>
      </c>
      <c r="AL23" s="813"/>
      <c r="AM23" s="813"/>
      <c r="AN23" s="813"/>
      <c r="AO23" s="814"/>
      <c r="AP23" s="815">
        <v>0</v>
      </c>
      <c r="AQ23" s="815"/>
      <c r="AR23" s="815"/>
      <c r="AS23" s="815"/>
      <c r="AT23" s="815"/>
      <c r="AU23" s="816">
        <f>AK23+AP23</f>
        <v>1</v>
      </c>
      <c r="AV23" s="816"/>
      <c r="AW23" s="816"/>
      <c r="AX23" s="816"/>
      <c r="AY23" s="816"/>
      <c r="AZ23" s="786">
        <f>AF23*AK23</f>
        <v>933.83</v>
      </c>
      <c r="BA23" s="786"/>
      <c r="BB23" s="786"/>
      <c r="BC23" s="786"/>
      <c r="BD23" s="786"/>
      <c r="BE23" s="786">
        <f>AP23*AF23</f>
        <v>0</v>
      </c>
      <c r="BF23" s="786"/>
      <c r="BG23" s="786"/>
      <c r="BH23" s="786"/>
      <c r="BI23" s="786"/>
      <c r="BJ23" s="786">
        <f>IF(AZ23+BE23&gt;AF23,"ERRO",ROUND(AZ23+BE23,2))</f>
        <v>933.83</v>
      </c>
      <c r="BK23" s="786"/>
      <c r="BL23" s="786"/>
      <c r="BM23" s="786"/>
      <c r="BN23" s="786"/>
      <c r="BO23" s="459"/>
      <c r="BR23" s="509">
        <f>Y23*AU23</f>
        <v>2.5</v>
      </c>
      <c r="BS23" s="509"/>
      <c r="BT23" s="509"/>
      <c r="BU23" s="509"/>
      <c r="BW23" s="461"/>
      <c r="BX23" s="397"/>
    </row>
    <row r="24" spans="1:76" s="460" customFormat="1" ht="12">
      <c r="A24" s="459"/>
      <c r="B24" s="805"/>
      <c r="C24" s="805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7"/>
      <c r="X24" s="808"/>
      <c r="Y24" s="809"/>
      <c r="Z24" s="810"/>
      <c r="AA24" s="811"/>
      <c r="AB24" s="776"/>
      <c r="AC24" s="777"/>
      <c r="AD24" s="777"/>
      <c r="AE24" s="778"/>
      <c r="AF24" s="779"/>
      <c r="AG24" s="780"/>
      <c r="AH24" s="780"/>
      <c r="AI24" s="780"/>
      <c r="AJ24" s="780"/>
      <c r="AK24" s="812"/>
      <c r="AL24" s="813"/>
      <c r="AM24" s="813"/>
      <c r="AN24" s="813"/>
      <c r="AO24" s="814"/>
      <c r="AP24" s="815"/>
      <c r="AQ24" s="815"/>
      <c r="AR24" s="815"/>
      <c r="AS24" s="815"/>
      <c r="AT24" s="815"/>
      <c r="AU24" s="816"/>
      <c r="AV24" s="816"/>
      <c r="AW24" s="816"/>
      <c r="AX24" s="816"/>
      <c r="AY24" s="816"/>
      <c r="AZ24" s="786"/>
      <c r="BA24" s="786"/>
      <c r="BB24" s="786"/>
      <c r="BC24" s="786"/>
      <c r="BD24" s="786"/>
      <c r="BE24" s="786"/>
      <c r="BF24" s="786"/>
      <c r="BG24" s="786"/>
      <c r="BH24" s="786"/>
      <c r="BI24" s="786"/>
      <c r="BJ24" s="786"/>
      <c r="BK24" s="786"/>
      <c r="BL24" s="786"/>
      <c r="BM24" s="786"/>
      <c r="BN24" s="786"/>
      <c r="BO24" s="459"/>
      <c r="BR24" s="509">
        <f aca="true" t="shared" si="0" ref="BR24:BR75">Y24*AU24</f>
        <v>0</v>
      </c>
      <c r="BS24" s="509"/>
      <c r="BT24" s="509"/>
      <c r="BU24" s="509"/>
      <c r="BW24" s="461"/>
      <c r="BX24" s="397"/>
    </row>
    <row r="25" spans="1:76" s="457" customFormat="1" ht="12">
      <c r="A25" s="456"/>
      <c r="B25" s="787">
        <f>'[1]PLANILHA CONTRATO'!A31</f>
        <v>2</v>
      </c>
      <c r="C25" s="787"/>
      <c r="D25" s="788" t="str">
        <f>'[1]PLANILHA CONTRATO'!C31</f>
        <v>DRENAGEM PLUVIAL</v>
      </c>
      <c r="E25" s="788"/>
      <c r="F25" s="788"/>
      <c r="G25" s="788"/>
      <c r="H25" s="788"/>
      <c r="I25" s="788"/>
      <c r="J25" s="788"/>
      <c r="K25" s="788"/>
      <c r="L25" s="788"/>
      <c r="M25" s="788"/>
      <c r="N25" s="788"/>
      <c r="O25" s="788"/>
      <c r="P25" s="788"/>
      <c r="Q25" s="788"/>
      <c r="R25" s="788"/>
      <c r="S25" s="788"/>
      <c r="T25" s="788"/>
      <c r="U25" s="788"/>
      <c r="V25" s="788"/>
      <c r="W25" s="817"/>
      <c r="X25" s="790"/>
      <c r="Y25" s="791"/>
      <c r="Z25" s="792"/>
      <c r="AA25" s="793"/>
      <c r="AB25" s="794"/>
      <c r="AC25" s="795"/>
      <c r="AD25" s="795"/>
      <c r="AE25" s="796"/>
      <c r="AF25" s="797"/>
      <c r="AG25" s="798"/>
      <c r="AH25" s="798"/>
      <c r="AI25" s="798"/>
      <c r="AJ25" s="798"/>
      <c r="AK25" s="812"/>
      <c r="AL25" s="813"/>
      <c r="AM25" s="813"/>
      <c r="AN25" s="813"/>
      <c r="AO25" s="814"/>
      <c r="AP25" s="815"/>
      <c r="AQ25" s="815"/>
      <c r="AR25" s="815"/>
      <c r="AS25" s="815"/>
      <c r="AT25" s="815"/>
      <c r="AU25" s="803"/>
      <c r="AV25" s="803"/>
      <c r="AW25" s="803"/>
      <c r="AX25" s="803"/>
      <c r="AY25" s="803"/>
      <c r="AZ25" s="804"/>
      <c r="BA25" s="804"/>
      <c r="BB25" s="804"/>
      <c r="BC25" s="804"/>
      <c r="BD25" s="804"/>
      <c r="BE25" s="804"/>
      <c r="BF25" s="804"/>
      <c r="BG25" s="804"/>
      <c r="BH25" s="804"/>
      <c r="BI25" s="804"/>
      <c r="BJ25" s="804"/>
      <c r="BK25" s="804"/>
      <c r="BL25" s="804"/>
      <c r="BM25" s="804"/>
      <c r="BN25" s="804"/>
      <c r="BO25" s="456"/>
      <c r="BR25" s="509">
        <f t="shared" si="0"/>
        <v>0</v>
      </c>
      <c r="BS25" s="509"/>
      <c r="BT25" s="509"/>
      <c r="BU25" s="509"/>
      <c r="BW25" s="462">
        <f>SUM(BE26:BI37)</f>
        <v>39302.03</v>
      </c>
      <c r="BX25" s="458">
        <f>SUM(BJ26:BN37)</f>
        <v>154078.44999999998</v>
      </c>
    </row>
    <row r="26" spans="1:76" s="460" customFormat="1" ht="44.25" customHeight="1">
      <c r="A26" s="459"/>
      <c r="B26" s="805" t="str">
        <f>'[1]PLANILHA CONTRATO'!A32</f>
        <v>2.1</v>
      </c>
      <c r="C26" s="805"/>
      <c r="D26" s="806" t="str">
        <f>'[1]PLANILHA CONTRATO'!C32</f>
        <v>ESCAVACAO DE VALA NAO ESCORADA EM MATERIAL 1A CATEGORIA , PROFUNDIDADE ATE 1,5 M COM ESCAVADEIRA HIDRAULICA 105 HP (CAPACIDADE DE 0,78M3), SEM ESGOTAMENTO</v>
      </c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07" t="str">
        <f>'[1]PLANILHA CONTRATO'!D32</f>
        <v>M3</v>
      </c>
      <c r="X26" s="808"/>
      <c r="Y26" s="809">
        <f>'[1]PLANILHA CONTRATO'!E32</f>
        <v>719.28</v>
      </c>
      <c r="Z26" s="810"/>
      <c r="AA26" s="811"/>
      <c r="AB26" s="776">
        <f>'[1]PLANILHA CONTRATO'!G32</f>
        <v>3.97</v>
      </c>
      <c r="AC26" s="777"/>
      <c r="AD26" s="777"/>
      <c r="AE26" s="778"/>
      <c r="AF26" s="779">
        <f aca="true" t="shared" si="1" ref="AF26:AF75">ROUND(AB26*Y26,2)</f>
        <v>2855.54</v>
      </c>
      <c r="AG26" s="780"/>
      <c r="AH26" s="780"/>
      <c r="AI26" s="780"/>
      <c r="AJ26" s="780"/>
      <c r="AK26" s="812">
        <f>'[1]BM Nº03 + BM Nº01_CAIXA'!AU26</f>
        <v>0.9102435769102436</v>
      </c>
      <c r="AL26" s="813"/>
      <c r="AM26" s="813"/>
      <c r="AN26" s="813"/>
      <c r="AO26" s="814"/>
      <c r="AP26" s="815">
        <v>0</v>
      </c>
      <c r="AQ26" s="815"/>
      <c r="AR26" s="815"/>
      <c r="AS26" s="815"/>
      <c r="AT26" s="815"/>
      <c r="AU26" s="816">
        <f aca="true" t="shared" si="2" ref="AU26:AU75">AK26+AP26</f>
        <v>0.9102435769102436</v>
      </c>
      <c r="AV26" s="816"/>
      <c r="AW26" s="816"/>
      <c r="AX26" s="816"/>
      <c r="AY26" s="816"/>
      <c r="AZ26" s="786">
        <f aca="true" t="shared" si="3" ref="AZ26:AZ75">AF26*AK26</f>
        <v>2599.236943610277</v>
      </c>
      <c r="BA26" s="786"/>
      <c r="BB26" s="786"/>
      <c r="BC26" s="786"/>
      <c r="BD26" s="786"/>
      <c r="BE26" s="786">
        <f aca="true" t="shared" si="4" ref="BE26:BE75">AP26*AF26</f>
        <v>0</v>
      </c>
      <c r="BF26" s="786"/>
      <c r="BG26" s="786"/>
      <c r="BH26" s="786"/>
      <c r="BI26" s="786"/>
      <c r="BJ26" s="786">
        <f aca="true" t="shared" si="5" ref="BJ26:BJ75">IF(AZ26+BE26&gt;AF26,"ERRO",ROUND(AZ26+BE26,2))</f>
        <v>2599.24</v>
      </c>
      <c r="BK26" s="786"/>
      <c r="BL26" s="786"/>
      <c r="BM26" s="786"/>
      <c r="BN26" s="786"/>
      <c r="BO26" s="459"/>
      <c r="BR26" s="509">
        <f t="shared" si="0"/>
        <v>654.72</v>
      </c>
      <c r="BS26" s="509"/>
      <c r="BT26" s="509"/>
      <c r="BU26" s="509"/>
      <c r="BW26" s="461"/>
      <c r="BX26" s="397"/>
    </row>
    <row r="27" spans="1:76" s="457" customFormat="1" ht="12" customHeight="1">
      <c r="A27" s="456"/>
      <c r="B27" s="805" t="str">
        <f>'[1]PLANILHA CONTRATO'!A33</f>
        <v>2.2</v>
      </c>
      <c r="C27" s="805"/>
      <c r="D27" s="806" t="str">
        <f>'[1]PLANILHA CONTRATO'!C33</f>
        <v>APILOAMENTO COM MACO DE 30KG</v>
      </c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6"/>
      <c r="V27" s="806"/>
      <c r="W27" s="807" t="str">
        <f>'[1]PLANILHA CONTRATO'!D33</f>
        <v>M2</v>
      </c>
      <c r="X27" s="808"/>
      <c r="Y27" s="809">
        <f>'[1]PLANILHA CONTRATO'!E33</f>
        <v>462</v>
      </c>
      <c r="Z27" s="810"/>
      <c r="AA27" s="811"/>
      <c r="AB27" s="776">
        <f>'[1]PLANILHA CONTRATO'!G33</f>
        <v>20.64</v>
      </c>
      <c r="AC27" s="777"/>
      <c r="AD27" s="777"/>
      <c r="AE27" s="778"/>
      <c r="AF27" s="779">
        <f t="shared" si="1"/>
        <v>9535.68</v>
      </c>
      <c r="AG27" s="780"/>
      <c r="AH27" s="780"/>
      <c r="AI27" s="780"/>
      <c r="AJ27" s="780"/>
      <c r="AK27" s="812">
        <f>'[1]BM Nº03 + BM Nº01_CAIXA'!AU27</f>
        <v>0.912987012987013</v>
      </c>
      <c r="AL27" s="813"/>
      <c r="AM27" s="813"/>
      <c r="AN27" s="813"/>
      <c r="AO27" s="814"/>
      <c r="AP27" s="815">
        <v>0</v>
      </c>
      <c r="AQ27" s="815"/>
      <c r="AR27" s="815"/>
      <c r="AS27" s="815"/>
      <c r="AT27" s="815"/>
      <c r="AU27" s="816">
        <f t="shared" si="2"/>
        <v>0.912987012987013</v>
      </c>
      <c r="AV27" s="816"/>
      <c r="AW27" s="816"/>
      <c r="AX27" s="816"/>
      <c r="AY27" s="816"/>
      <c r="AZ27" s="786">
        <f t="shared" si="3"/>
        <v>8705.952000000001</v>
      </c>
      <c r="BA27" s="786"/>
      <c r="BB27" s="786"/>
      <c r="BC27" s="786"/>
      <c r="BD27" s="786"/>
      <c r="BE27" s="786">
        <f t="shared" si="4"/>
        <v>0</v>
      </c>
      <c r="BF27" s="786"/>
      <c r="BG27" s="786"/>
      <c r="BH27" s="786"/>
      <c r="BI27" s="786"/>
      <c r="BJ27" s="786">
        <f t="shared" si="5"/>
        <v>8705.95</v>
      </c>
      <c r="BK27" s="786"/>
      <c r="BL27" s="786"/>
      <c r="BM27" s="786"/>
      <c r="BN27" s="786"/>
      <c r="BO27" s="456"/>
      <c r="BR27" s="509">
        <f t="shared" si="0"/>
        <v>421.8</v>
      </c>
      <c r="BS27" s="509"/>
      <c r="BT27" s="509"/>
      <c r="BU27" s="509"/>
      <c r="BW27" s="462"/>
      <c r="BX27" s="447"/>
    </row>
    <row r="28" spans="1:76" s="460" customFormat="1" ht="35.25" customHeight="1">
      <c r="A28" s="459"/>
      <c r="B28" s="805" t="str">
        <f>'[1]PLANILHA CONTRATO'!A34</f>
        <v>2.3</v>
      </c>
      <c r="C28" s="805"/>
      <c r="D28" s="806" t="str">
        <f>'[1]PLANILHA CONTRATO'!C34</f>
        <v>FORNECIMENTO, ASSENTAMENTO E REJUNTAMENTO COM ARGAMASSA 1:3 DE TUBO DE CONCRETO SIMPLES, CLASSE- PS1, PB, DN 300 MM, PARA AGUAS PLUVIAIS (NBR8890)</v>
      </c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7" t="str">
        <f>'[1]PLANILHA CONTRATO'!D34</f>
        <v>M</v>
      </c>
      <c r="X28" s="808"/>
      <c r="Y28" s="809">
        <f>'[1]PLANILHA CONTRATO'!E34</f>
        <v>258</v>
      </c>
      <c r="Z28" s="810"/>
      <c r="AA28" s="811"/>
      <c r="AB28" s="776">
        <f>'[1]PLANILHA CONTRATO'!G34</f>
        <v>79.24</v>
      </c>
      <c r="AC28" s="777"/>
      <c r="AD28" s="777"/>
      <c r="AE28" s="778"/>
      <c r="AF28" s="779">
        <f t="shared" si="1"/>
        <v>20443.92</v>
      </c>
      <c r="AG28" s="780"/>
      <c r="AH28" s="780"/>
      <c r="AI28" s="780"/>
      <c r="AJ28" s="780"/>
      <c r="AK28" s="812">
        <f>'[1]BM Nº03 + BM Nº01_CAIXA'!AU28</f>
        <v>0.8604651162790699</v>
      </c>
      <c r="AL28" s="813"/>
      <c r="AM28" s="813"/>
      <c r="AN28" s="813"/>
      <c r="AO28" s="814"/>
      <c r="AP28" s="815">
        <v>0</v>
      </c>
      <c r="AQ28" s="815"/>
      <c r="AR28" s="815"/>
      <c r="AS28" s="815"/>
      <c r="AT28" s="815"/>
      <c r="AU28" s="816">
        <f t="shared" si="2"/>
        <v>0.8604651162790699</v>
      </c>
      <c r="AV28" s="816"/>
      <c r="AW28" s="816"/>
      <c r="AX28" s="816"/>
      <c r="AY28" s="816"/>
      <c r="AZ28" s="786">
        <f t="shared" si="3"/>
        <v>17591.28</v>
      </c>
      <c r="BA28" s="786"/>
      <c r="BB28" s="786"/>
      <c r="BC28" s="786"/>
      <c r="BD28" s="786"/>
      <c r="BE28" s="786">
        <f t="shared" si="4"/>
        <v>0</v>
      </c>
      <c r="BF28" s="786"/>
      <c r="BG28" s="786"/>
      <c r="BH28" s="786"/>
      <c r="BI28" s="786"/>
      <c r="BJ28" s="786">
        <f t="shared" si="5"/>
        <v>17591.28</v>
      </c>
      <c r="BK28" s="786"/>
      <c r="BL28" s="786"/>
      <c r="BM28" s="786"/>
      <c r="BN28" s="786"/>
      <c r="BO28" s="459"/>
      <c r="BR28" s="509">
        <f t="shared" si="0"/>
        <v>222.00000000000003</v>
      </c>
      <c r="BS28" s="509"/>
      <c r="BT28" s="509"/>
      <c r="BU28" s="509"/>
      <c r="BW28" s="461"/>
      <c r="BX28" s="397"/>
    </row>
    <row r="29" spans="1:76" s="460" customFormat="1" ht="44.25" customHeight="1">
      <c r="A29" s="459"/>
      <c r="B29" s="805" t="str">
        <f>'[1]PLANILHA CONTRATO'!A35</f>
        <v>2.4</v>
      </c>
      <c r="C29" s="805"/>
      <c r="D29" s="806" t="str">
        <f>'[1]PLANILHA CONTRATO'!C35</f>
        <v>TUBO DE CONCRETO PARA REDES COLETORAS DE ÁGUAS PLUVIAIS, DIÂMETRO DE 400 MM, JUNTA RÍGIDA, INSTALADO EM LOCAL COM BAIXO NÍVEL DE INTERFERÊNCIAS - FORNECIMENTO E ASSENTAMENTO. AF_12/2015</v>
      </c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7" t="str">
        <f>'[1]PLANILHA CONTRATO'!D35</f>
        <v>M</v>
      </c>
      <c r="X29" s="808"/>
      <c r="Y29" s="809">
        <f>'[1]PLANILHA CONTRATO'!E35</f>
        <v>466</v>
      </c>
      <c r="Z29" s="810"/>
      <c r="AA29" s="811"/>
      <c r="AB29" s="776">
        <f>'[1]PLANILHA CONTRATO'!G35</f>
        <v>101.55</v>
      </c>
      <c r="AC29" s="777"/>
      <c r="AD29" s="777"/>
      <c r="AE29" s="778"/>
      <c r="AF29" s="779">
        <f t="shared" si="1"/>
        <v>47322.3</v>
      </c>
      <c r="AG29" s="780"/>
      <c r="AH29" s="780"/>
      <c r="AI29" s="780"/>
      <c r="AJ29" s="780"/>
      <c r="AK29" s="812">
        <f>'[1]BM Nº03 + BM Nº01_CAIXA'!AU29</f>
        <v>0.9742489270386266</v>
      </c>
      <c r="AL29" s="813"/>
      <c r="AM29" s="813"/>
      <c r="AN29" s="813"/>
      <c r="AO29" s="814"/>
      <c r="AP29" s="815">
        <v>0</v>
      </c>
      <c r="AQ29" s="815"/>
      <c r="AR29" s="815"/>
      <c r="AS29" s="815"/>
      <c r="AT29" s="815"/>
      <c r="AU29" s="816">
        <f t="shared" si="2"/>
        <v>0.9742489270386266</v>
      </c>
      <c r="AV29" s="816"/>
      <c r="AW29" s="816"/>
      <c r="AX29" s="816"/>
      <c r="AY29" s="816"/>
      <c r="AZ29" s="786">
        <f t="shared" si="3"/>
        <v>46103.700000000004</v>
      </c>
      <c r="BA29" s="786"/>
      <c r="BB29" s="786"/>
      <c r="BC29" s="786"/>
      <c r="BD29" s="786"/>
      <c r="BE29" s="786">
        <f t="shared" si="4"/>
        <v>0</v>
      </c>
      <c r="BF29" s="786"/>
      <c r="BG29" s="786"/>
      <c r="BH29" s="786"/>
      <c r="BI29" s="786"/>
      <c r="BJ29" s="786">
        <f t="shared" si="5"/>
        <v>46103.7</v>
      </c>
      <c r="BK29" s="786"/>
      <c r="BL29" s="786"/>
      <c r="BM29" s="786"/>
      <c r="BN29" s="786"/>
      <c r="BO29" s="459"/>
      <c r="BR29" s="509">
        <f t="shared" si="0"/>
        <v>454</v>
      </c>
      <c r="BS29" s="509"/>
      <c r="BT29" s="509"/>
      <c r="BU29" s="509"/>
      <c r="BW29" s="461"/>
      <c r="BX29" s="397"/>
    </row>
    <row r="30" spans="1:76" s="460" customFormat="1" ht="46.5" customHeight="1">
      <c r="A30" s="459"/>
      <c r="B30" s="805" t="str">
        <f>'[1]PLANILHA CONTRATO'!A36</f>
        <v>2.5</v>
      </c>
      <c r="C30" s="805"/>
      <c r="D30" s="806" t="str">
        <f>'[1]PLANILHA CONTRATO'!C36</f>
        <v>TUBO DE CONCRETO PARA REDES COLETORAS DE ÁGUAS PLUVIAIS, DIÂMETRO DE 600 MM, JUNTA RÍGIDA, INSTALADO EM LOCAL COM BAIXO NÍVEL DE INTERFERÊNCIAS - FORNECIMENTO E ASSENTAMENTO. AF_12/2015</v>
      </c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7" t="str">
        <f>'[1]PLANILHA CONTRATO'!D36</f>
        <v>M</v>
      </c>
      <c r="X30" s="808"/>
      <c r="Y30" s="809">
        <f>'[1]PLANILHA CONTRATO'!E36</f>
        <v>46</v>
      </c>
      <c r="Z30" s="810"/>
      <c r="AA30" s="811"/>
      <c r="AB30" s="776">
        <f>'[1]PLANILHA CONTRATO'!G36</f>
        <v>166.01</v>
      </c>
      <c r="AC30" s="777"/>
      <c r="AD30" s="777"/>
      <c r="AE30" s="778"/>
      <c r="AF30" s="779">
        <f t="shared" si="1"/>
        <v>7636.46</v>
      </c>
      <c r="AG30" s="780"/>
      <c r="AH30" s="780"/>
      <c r="AI30" s="780"/>
      <c r="AJ30" s="780"/>
      <c r="AK30" s="812">
        <f>'[1]BM Nº03 + BM Nº01_CAIXA'!AU30</f>
        <v>0.5869565217391305</v>
      </c>
      <c r="AL30" s="813"/>
      <c r="AM30" s="813"/>
      <c r="AN30" s="813"/>
      <c r="AO30" s="814"/>
      <c r="AP30" s="815">
        <v>0</v>
      </c>
      <c r="AQ30" s="815"/>
      <c r="AR30" s="815"/>
      <c r="AS30" s="815"/>
      <c r="AT30" s="815"/>
      <c r="AU30" s="816">
        <f t="shared" si="2"/>
        <v>0.5869565217391305</v>
      </c>
      <c r="AV30" s="816"/>
      <c r="AW30" s="816"/>
      <c r="AX30" s="816"/>
      <c r="AY30" s="816"/>
      <c r="AZ30" s="786">
        <f t="shared" si="3"/>
        <v>4482.27</v>
      </c>
      <c r="BA30" s="786"/>
      <c r="BB30" s="786"/>
      <c r="BC30" s="786"/>
      <c r="BD30" s="786"/>
      <c r="BE30" s="786">
        <f t="shared" si="4"/>
        <v>0</v>
      </c>
      <c r="BF30" s="786"/>
      <c r="BG30" s="786"/>
      <c r="BH30" s="786"/>
      <c r="BI30" s="786"/>
      <c r="BJ30" s="786">
        <f t="shared" si="5"/>
        <v>4482.27</v>
      </c>
      <c r="BK30" s="786"/>
      <c r="BL30" s="786"/>
      <c r="BM30" s="786"/>
      <c r="BN30" s="786"/>
      <c r="BO30" s="459"/>
      <c r="BR30" s="509">
        <f t="shared" si="0"/>
        <v>27.000000000000004</v>
      </c>
      <c r="BS30" s="509"/>
      <c r="BT30" s="509"/>
      <c r="BU30" s="509"/>
      <c r="BW30" s="461"/>
      <c r="BX30" s="397"/>
    </row>
    <row r="31" spans="1:76" s="460" customFormat="1" ht="23.25" customHeight="1">
      <c r="A31" s="459"/>
      <c r="B31" s="805" t="str">
        <f>'[1]PLANILHA CONTRATO'!A37</f>
        <v>2.6</v>
      </c>
      <c r="C31" s="805"/>
      <c r="D31" s="806" t="str">
        <f>'[1]PLANILHA CONTRATO'!C37</f>
        <v>REATERRO E COMPACTACAO MECANICO DE VALA COM COMPACTADOR MANUAL TIPO SOQUETE VIBRATORIO</v>
      </c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7" t="str">
        <f>'[1]PLANILHA CONTRATO'!D37</f>
        <v>M3</v>
      </c>
      <c r="X31" s="808"/>
      <c r="Y31" s="809">
        <f>'[1]PLANILHA CONTRATO'!E37</f>
        <v>629.52</v>
      </c>
      <c r="Z31" s="810"/>
      <c r="AA31" s="811"/>
      <c r="AB31" s="776">
        <f>'[1]PLANILHA CONTRATO'!G37</f>
        <v>27.53</v>
      </c>
      <c r="AC31" s="777"/>
      <c r="AD31" s="777"/>
      <c r="AE31" s="778"/>
      <c r="AF31" s="779">
        <f t="shared" si="1"/>
        <v>17330.69</v>
      </c>
      <c r="AG31" s="780"/>
      <c r="AH31" s="780"/>
      <c r="AI31" s="780"/>
      <c r="AJ31" s="780"/>
      <c r="AK31" s="812">
        <f>'[1]BM Nº03 + BM Nº01_CAIXA'!AU31</f>
        <v>0.9124094548227221</v>
      </c>
      <c r="AL31" s="813"/>
      <c r="AM31" s="813"/>
      <c r="AN31" s="813"/>
      <c r="AO31" s="814"/>
      <c r="AP31" s="815">
        <v>0</v>
      </c>
      <c r="AQ31" s="815"/>
      <c r="AR31" s="815"/>
      <c r="AS31" s="815"/>
      <c r="AT31" s="815"/>
      <c r="AU31" s="816">
        <f t="shared" si="2"/>
        <v>0.9124094548227221</v>
      </c>
      <c r="AV31" s="816"/>
      <c r="AW31" s="816"/>
      <c r="AX31" s="816"/>
      <c r="AY31" s="816"/>
      <c r="AZ31" s="786">
        <f t="shared" si="3"/>
        <v>15812.6854146016</v>
      </c>
      <c r="BA31" s="786"/>
      <c r="BB31" s="786"/>
      <c r="BC31" s="786"/>
      <c r="BD31" s="786"/>
      <c r="BE31" s="786">
        <f t="shared" si="4"/>
        <v>0</v>
      </c>
      <c r="BF31" s="786"/>
      <c r="BG31" s="786"/>
      <c r="BH31" s="786"/>
      <c r="BI31" s="786"/>
      <c r="BJ31" s="786">
        <f t="shared" si="5"/>
        <v>15812.69</v>
      </c>
      <c r="BK31" s="786"/>
      <c r="BL31" s="786"/>
      <c r="BM31" s="786"/>
      <c r="BN31" s="786"/>
      <c r="BO31" s="459"/>
      <c r="BR31" s="509">
        <f t="shared" si="0"/>
        <v>574.38</v>
      </c>
      <c r="BS31" s="509"/>
      <c r="BT31" s="509"/>
      <c r="BU31" s="509"/>
      <c r="BW31" s="461"/>
      <c r="BX31" s="397"/>
    </row>
    <row r="32" spans="1:76" s="460" customFormat="1" ht="37.5" customHeight="1">
      <c r="A32" s="459"/>
      <c r="B32" s="805" t="str">
        <f>'[1]PLANILHA CONTRATO'!A38</f>
        <v>2.7</v>
      </c>
      <c r="C32" s="805"/>
      <c r="D32" s="806" t="str">
        <f>'[1]PLANILHA CONTRATO'!C38</f>
        <v>BOCA DE LOBO EM ALVENARIA TIJOLO MACICO, REVESTIDA C/ ARGAMASSA DE CIMENTO E AREIA 1:3, SOBRE LASTRO DE CONCRETO 10CM E TAMPA DE CONCRETO ARMADO</v>
      </c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7" t="str">
        <f>'[1]PLANILHA CONTRATO'!D38</f>
        <v>UNID.</v>
      </c>
      <c r="X32" s="808"/>
      <c r="Y32" s="809">
        <f>'[1]PLANILHA CONTRATO'!E38</f>
        <v>36</v>
      </c>
      <c r="Z32" s="810"/>
      <c r="AA32" s="811"/>
      <c r="AB32" s="776">
        <f>'[1]PLANILHA CONTRATO'!G38</f>
        <v>713.81</v>
      </c>
      <c r="AC32" s="777"/>
      <c r="AD32" s="777"/>
      <c r="AE32" s="778"/>
      <c r="AF32" s="779">
        <f t="shared" si="1"/>
        <v>25697.16</v>
      </c>
      <c r="AG32" s="780"/>
      <c r="AH32" s="780"/>
      <c r="AI32" s="780"/>
      <c r="AJ32" s="780"/>
      <c r="AK32" s="812">
        <f>'[1]BM Nº03 + BM Nº01_CAIXA'!AU32</f>
        <v>0.41666666666666663</v>
      </c>
      <c r="AL32" s="813"/>
      <c r="AM32" s="813"/>
      <c r="AN32" s="813"/>
      <c r="AO32" s="814"/>
      <c r="AP32" s="815">
        <v>0</v>
      </c>
      <c r="AQ32" s="815"/>
      <c r="AR32" s="815"/>
      <c r="AS32" s="815"/>
      <c r="AT32" s="815"/>
      <c r="AU32" s="816">
        <f t="shared" si="2"/>
        <v>0.41666666666666663</v>
      </c>
      <c r="AV32" s="816"/>
      <c r="AW32" s="816"/>
      <c r="AX32" s="816"/>
      <c r="AY32" s="816"/>
      <c r="AZ32" s="786">
        <f t="shared" si="3"/>
        <v>10707.15</v>
      </c>
      <c r="BA32" s="786"/>
      <c r="BB32" s="786"/>
      <c r="BC32" s="786"/>
      <c r="BD32" s="786"/>
      <c r="BE32" s="786">
        <f t="shared" si="4"/>
        <v>0</v>
      </c>
      <c r="BF32" s="786"/>
      <c r="BG32" s="786"/>
      <c r="BH32" s="786"/>
      <c r="BI32" s="786"/>
      <c r="BJ32" s="786">
        <f t="shared" si="5"/>
        <v>10707.15</v>
      </c>
      <c r="BK32" s="786"/>
      <c r="BL32" s="786"/>
      <c r="BM32" s="786"/>
      <c r="BN32" s="786"/>
      <c r="BO32" s="459"/>
      <c r="BR32" s="509">
        <f t="shared" si="0"/>
        <v>14.999999999999998</v>
      </c>
      <c r="BS32" s="509"/>
      <c r="BT32" s="509"/>
      <c r="BU32" s="509"/>
      <c r="BW32" s="461"/>
      <c r="BX32" s="397"/>
    </row>
    <row r="33" spans="1:76" s="460" customFormat="1" ht="24" customHeight="1">
      <c r="A33" s="459"/>
      <c r="B33" s="805" t="str">
        <f>'[1]PLANILHA CONTRATO'!A39</f>
        <v>2.8</v>
      </c>
      <c r="C33" s="805"/>
      <c r="D33" s="806" t="str">
        <f>'[1]PLANILHA CONTRATO'!C39</f>
        <v>POCO DE VISITA EM ALVENARIA, PARA REDE D=0,40 M, PARTE FIXA C/ 1,00 M DE ALTURA</v>
      </c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7" t="str">
        <f>'[1]PLANILHA CONTRATO'!D39</f>
        <v>UNID.</v>
      </c>
      <c r="X33" s="808"/>
      <c r="Y33" s="809">
        <f>'[1]PLANILHA CONTRATO'!E39</f>
        <v>10</v>
      </c>
      <c r="Z33" s="810"/>
      <c r="AA33" s="811"/>
      <c r="AB33" s="776">
        <f>'[1]PLANILHA CONTRATO'!G39</f>
        <v>1171.16</v>
      </c>
      <c r="AC33" s="777"/>
      <c r="AD33" s="777"/>
      <c r="AE33" s="778"/>
      <c r="AF33" s="779">
        <f t="shared" si="1"/>
        <v>11711.6</v>
      </c>
      <c r="AG33" s="780"/>
      <c r="AH33" s="780"/>
      <c r="AI33" s="780"/>
      <c r="AJ33" s="780"/>
      <c r="AK33" s="812">
        <f>'[1]BM Nº03 + BM Nº01_CAIXA'!AU33</f>
        <v>0.5</v>
      </c>
      <c r="AL33" s="813"/>
      <c r="AM33" s="813"/>
      <c r="AN33" s="813"/>
      <c r="AO33" s="814"/>
      <c r="AP33" s="815">
        <v>0</v>
      </c>
      <c r="AQ33" s="815"/>
      <c r="AR33" s="815"/>
      <c r="AS33" s="815"/>
      <c r="AT33" s="815"/>
      <c r="AU33" s="816">
        <f t="shared" si="2"/>
        <v>0.5</v>
      </c>
      <c r="AV33" s="816"/>
      <c r="AW33" s="816"/>
      <c r="AX33" s="816"/>
      <c r="AY33" s="816"/>
      <c r="AZ33" s="786">
        <f t="shared" si="3"/>
        <v>5855.8</v>
      </c>
      <c r="BA33" s="786"/>
      <c r="BB33" s="786"/>
      <c r="BC33" s="786"/>
      <c r="BD33" s="786"/>
      <c r="BE33" s="786">
        <f t="shared" si="4"/>
        <v>0</v>
      </c>
      <c r="BF33" s="786"/>
      <c r="BG33" s="786"/>
      <c r="BH33" s="786"/>
      <c r="BI33" s="786"/>
      <c r="BJ33" s="786">
        <f t="shared" si="5"/>
        <v>5855.8</v>
      </c>
      <c r="BK33" s="786"/>
      <c r="BL33" s="786"/>
      <c r="BM33" s="786"/>
      <c r="BN33" s="786"/>
      <c r="BO33" s="459"/>
      <c r="BR33" s="509">
        <f t="shared" si="0"/>
        <v>5</v>
      </c>
      <c r="BS33" s="509"/>
      <c r="BT33" s="509"/>
      <c r="BU33" s="509"/>
      <c r="BW33" s="461"/>
      <c r="BX33" s="397"/>
    </row>
    <row r="34" spans="1:76" s="460" customFormat="1" ht="24" customHeight="1">
      <c r="A34" s="459"/>
      <c r="B34" s="805" t="str">
        <f>'[1]PLANILHA CONTRATO'!A40</f>
        <v>2.9</v>
      </c>
      <c r="C34" s="805"/>
      <c r="D34" s="806" t="str">
        <f>'[1]PLANILHA CONTRATO'!C40</f>
        <v>POCO DE VISITA EM ALVENARIA, PARA REDE D=0,60 M, PARTE FIXA C/ 1,00 M DE ALTURA</v>
      </c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7" t="str">
        <f>'[1]PLANILHA CONTRATO'!D40</f>
        <v>UNID.</v>
      </c>
      <c r="X34" s="808"/>
      <c r="Y34" s="809">
        <f>'[1]PLANILHA CONTRATO'!E40</f>
        <v>4</v>
      </c>
      <c r="Z34" s="810"/>
      <c r="AA34" s="811"/>
      <c r="AB34" s="776">
        <f>'[1]PLANILHA CONTRATO'!G40</f>
        <v>1459.17</v>
      </c>
      <c r="AC34" s="777"/>
      <c r="AD34" s="777"/>
      <c r="AE34" s="778"/>
      <c r="AF34" s="779">
        <f t="shared" si="1"/>
        <v>5836.68</v>
      </c>
      <c r="AG34" s="780"/>
      <c r="AH34" s="780"/>
      <c r="AI34" s="780"/>
      <c r="AJ34" s="780"/>
      <c r="AK34" s="812">
        <f>'[1]BM Nº03 + BM Nº01_CAIXA'!AU34</f>
        <v>0.5</v>
      </c>
      <c r="AL34" s="813"/>
      <c r="AM34" s="813"/>
      <c r="AN34" s="813"/>
      <c r="AO34" s="814"/>
      <c r="AP34" s="815">
        <v>0</v>
      </c>
      <c r="AQ34" s="815"/>
      <c r="AR34" s="815"/>
      <c r="AS34" s="815"/>
      <c r="AT34" s="815"/>
      <c r="AU34" s="816">
        <f t="shared" si="2"/>
        <v>0.5</v>
      </c>
      <c r="AV34" s="816"/>
      <c r="AW34" s="816"/>
      <c r="AX34" s="816"/>
      <c r="AY34" s="816"/>
      <c r="AZ34" s="786">
        <f t="shared" si="3"/>
        <v>2918.34</v>
      </c>
      <c r="BA34" s="786"/>
      <c r="BB34" s="786"/>
      <c r="BC34" s="786"/>
      <c r="BD34" s="786"/>
      <c r="BE34" s="786">
        <f t="shared" si="4"/>
        <v>0</v>
      </c>
      <c r="BF34" s="786"/>
      <c r="BG34" s="786"/>
      <c r="BH34" s="786"/>
      <c r="BI34" s="786"/>
      <c r="BJ34" s="786">
        <f t="shared" si="5"/>
        <v>2918.34</v>
      </c>
      <c r="BK34" s="786"/>
      <c r="BL34" s="786"/>
      <c r="BM34" s="786"/>
      <c r="BN34" s="786"/>
      <c r="BO34" s="459"/>
      <c r="BR34" s="509">
        <f t="shared" si="0"/>
        <v>2</v>
      </c>
      <c r="BS34" s="509"/>
      <c r="BT34" s="509"/>
      <c r="BU34" s="509"/>
      <c r="BW34" s="461"/>
      <c r="BX34" s="397"/>
    </row>
    <row r="35" spans="1:76" s="460" customFormat="1" ht="33.75" customHeight="1">
      <c r="A35" s="459"/>
      <c r="B35" s="805" t="str">
        <f>'[1]PLANILHA CONTRATO'!A41</f>
        <v>2.10</v>
      </c>
      <c r="C35" s="805"/>
      <c r="D35" s="806" t="str">
        <f>'[1]PLANILHA CONTRATO'!C41</f>
        <v>TAMPAO DE FERRO FUNDIDO, D = 60CM, 175KG, P = CHAMINE CX AREIA/POCO VISITA ASSENTADO COM ARG CIM/AREIA 1:4, FORNECIMENTO E ASSENTAMENTO</v>
      </c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7" t="str">
        <f>'[1]PLANILHA CONTRATO'!D41</f>
        <v>UNID.</v>
      </c>
      <c r="X35" s="808"/>
      <c r="Y35" s="809">
        <f>'[1]PLANILHA CONTRATO'!E41</f>
        <v>14</v>
      </c>
      <c r="Z35" s="810"/>
      <c r="AA35" s="811"/>
      <c r="AB35" s="776">
        <f>'[1]PLANILHA CONTRATO'!G41</f>
        <v>427.49</v>
      </c>
      <c r="AC35" s="777"/>
      <c r="AD35" s="777"/>
      <c r="AE35" s="778"/>
      <c r="AF35" s="779">
        <f t="shared" si="1"/>
        <v>5984.86</v>
      </c>
      <c r="AG35" s="780"/>
      <c r="AH35" s="780"/>
      <c r="AI35" s="780"/>
      <c r="AJ35" s="780"/>
      <c r="AK35" s="812">
        <f>'[1]BM Nº03 + BM Nº01_CAIXA'!AU35</f>
        <v>0</v>
      </c>
      <c r="AL35" s="813"/>
      <c r="AM35" s="813"/>
      <c r="AN35" s="813"/>
      <c r="AO35" s="814"/>
      <c r="AP35" s="815">
        <v>0.5</v>
      </c>
      <c r="AQ35" s="815"/>
      <c r="AR35" s="815"/>
      <c r="AS35" s="815"/>
      <c r="AT35" s="815"/>
      <c r="AU35" s="816">
        <f t="shared" si="2"/>
        <v>0.5</v>
      </c>
      <c r="AV35" s="816"/>
      <c r="AW35" s="816"/>
      <c r="AX35" s="816"/>
      <c r="AY35" s="816"/>
      <c r="AZ35" s="786">
        <f t="shared" si="3"/>
        <v>0</v>
      </c>
      <c r="BA35" s="786"/>
      <c r="BB35" s="786"/>
      <c r="BC35" s="786"/>
      <c r="BD35" s="786"/>
      <c r="BE35" s="786">
        <f t="shared" si="4"/>
        <v>2992.43</v>
      </c>
      <c r="BF35" s="786"/>
      <c r="BG35" s="786"/>
      <c r="BH35" s="786"/>
      <c r="BI35" s="786"/>
      <c r="BJ35" s="786">
        <f t="shared" si="5"/>
        <v>2992.43</v>
      </c>
      <c r="BK35" s="786"/>
      <c r="BL35" s="786"/>
      <c r="BM35" s="786"/>
      <c r="BN35" s="786"/>
      <c r="BO35" s="459"/>
      <c r="BR35" s="509">
        <f t="shared" si="0"/>
        <v>7</v>
      </c>
      <c r="BS35" s="509"/>
      <c r="BT35" s="509"/>
      <c r="BU35" s="509"/>
      <c r="BW35" s="461"/>
      <c r="BX35" s="397"/>
    </row>
    <row r="36" spans="1:76" s="460" customFormat="1" ht="33" customHeight="1">
      <c r="A36" s="459"/>
      <c r="B36" s="805" t="str">
        <f>'[1]PLANILHA CONTRATO'!A42</f>
        <v>2.11</v>
      </c>
      <c r="C36" s="805"/>
      <c r="D36" s="806" t="str">
        <f>'[1]PLANILHA CONTRATO'!C42</f>
        <v>MEIO-FIO DE CONCRETO PRE-MOLDADO 12 X 30 CM, SOBRE BASE DE CONCRETO SIMPLES E REJUNTADO COM ARGAMASSA TRACO 1:3 (CIMENTO E AREIA)</v>
      </c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7" t="str">
        <f>'[1]PLANILHA CONTRATO'!D42</f>
        <v>M</v>
      </c>
      <c r="X36" s="808"/>
      <c r="Y36" s="809">
        <f>'[1]PLANILHA CONTRATO'!E42</f>
        <v>30</v>
      </c>
      <c r="Z36" s="810"/>
      <c r="AA36" s="811"/>
      <c r="AB36" s="776">
        <f>'[1]PLANILHA CONTRATO'!G42</f>
        <v>32.93</v>
      </c>
      <c r="AC36" s="777"/>
      <c r="AD36" s="777"/>
      <c r="AE36" s="778"/>
      <c r="AF36" s="779">
        <f t="shared" si="1"/>
        <v>987.9</v>
      </c>
      <c r="AG36" s="780"/>
      <c r="AH36" s="780"/>
      <c r="AI36" s="780"/>
      <c r="AJ36" s="780"/>
      <c r="AK36" s="812">
        <f>'[1]BM Nº03 + BM Nº01_CAIXA'!AU36</f>
        <v>0</v>
      </c>
      <c r="AL36" s="813"/>
      <c r="AM36" s="813"/>
      <c r="AN36" s="813"/>
      <c r="AO36" s="814"/>
      <c r="AP36" s="815">
        <v>0</v>
      </c>
      <c r="AQ36" s="815"/>
      <c r="AR36" s="815"/>
      <c r="AS36" s="815"/>
      <c r="AT36" s="815"/>
      <c r="AU36" s="816">
        <f t="shared" si="2"/>
        <v>0</v>
      </c>
      <c r="AV36" s="816"/>
      <c r="AW36" s="816"/>
      <c r="AX36" s="816"/>
      <c r="AY36" s="816"/>
      <c r="AZ36" s="786">
        <f t="shared" si="3"/>
        <v>0</v>
      </c>
      <c r="BA36" s="786"/>
      <c r="BB36" s="786"/>
      <c r="BC36" s="786"/>
      <c r="BD36" s="786"/>
      <c r="BE36" s="786">
        <f t="shared" si="4"/>
        <v>0</v>
      </c>
      <c r="BF36" s="786"/>
      <c r="BG36" s="786"/>
      <c r="BH36" s="786"/>
      <c r="BI36" s="786"/>
      <c r="BJ36" s="786">
        <f t="shared" si="5"/>
        <v>0</v>
      </c>
      <c r="BK36" s="786"/>
      <c r="BL36" s="786"/>
      <c r="BM36" s="786"/>
      <c r="BN36" s="786"/>
      <c r="BO36" s="459"/>
      <c r="BR36" s="509">
        <f t="shared" si="0"/>
        <v>0</v>
      </c>
      <c r="BS36" s="509"/>
      <c r="BT36" s="509"/>
      <c r="BU36" s="509"/>
      <c r="BW36" s="461"/>
      <c r="BX36" s="397"/>
    </row>
    <row r="37" spans="1:76" s="460" customFormat="1" ht="23.25" customHeight="1">
      <c r="A37" s="459"/>
      <c r="B37" s="805" t="str">
        <f>'[1]PLANILHA CONTRATO'!A43</f>
        <v>2.12</v>
      </c>
      <c r="C37" s="805"/>
      <c r="D37" s="806" t="str">
        <f>'[1]PLANILHA CONTRATO'!C43</f>
        <v>SARJETA EM CONCRETO, PREPARO MANUAL, COM SEIXO ROLADO, ESPESSURA = 8CM, LARGURA = 40CM</v>
      </c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7" t="str">
        <f>'[1]PLANILHA CONTRATO'!D43</f>
        <v>M</v>
      </c>
      <c r="X37" s="808"/>
      <c r="Y37" s="809">
        <f>'[1]PLANILHA CONTRATO'!E43</f>
        <v>840.5</v>
      </c>
      <c r="Z37" s="810"/>
      <c r="AA37" s="811"/>
      <c r="AB37" s="776">
        <f>'[1]PLANILHA CONTRATO'!G43</f>
        <v>43.2</v>
      </c>
      <c r="AC37" s="777"/>
      <c r="AD37" s="777"/>
      <c r="AE37" s="778"/>
      <c r="AF37" s="779">
        <f t="shared" si="1"/>
        <v>36309.6</v>
      </c>
      <c r="AG37" s="780"/>
      <c r="AH37" s="780"/>
      <c r="AI37" s="780"/>
      <c r="AJ37" s="780"/>
      <c r="AK37" s="812">
        <f>'[1]BM Nº03 + BM Nº01_CAIXA'!AU37</f>
        <v>0</v>
      </c>
      <c r="AL37" s="813"/>
      <c r="AM37" s="813"/>
      <c r="AN37" s="813"/>
      <c r="AO37" s="814"/>
      <c r="AP37" s="815">
        <v>1</v>
      </c>
      <c r="AQ37" s="815"/>
      <c r="AR37" s="815"/>
      <c r="AS37" s="815"/>
      <c r="AT37" s="815"/>
      <c r="AU37" s="816">
        <f t="shared" si="2"/>
        <v>1</v>
      </c>
      <c r="AV37" s="816"/>
      <c r="AW37" s="816"/>
      <c r="AX37" s="816"/>
      <c r="AY37" s="816"/>
      <c r="AZ37" s="786">
        <f t="shared" si="3"/>
        <v>0</v>
      </c>
      <c r="BA37" s="786"/>
      <c r="BB37" s="786"/>
      <c r="BC37" s="786"/>
      <c r="BD37" s="786"/>
      <c r="BE37" s="786">
        <f t="shared" si="4"/>
        <v>36309.6</v>
      </c>
      <c r="BF37" s="786"/>
      <c r="BG37" s="786"/>
      <c r="BH37" s="786"/>
      <c r="BI37" s="786"/>
      <c r="BJ37" s="786">
        <f t="shared" si="5"/>
        <v>36309.6</v>
      </c>
      <c r="BK37" s="786"/>
      <c r="BL37" s="786"/>
      <c r="BM37" s="786"/>
      <c r="BN37" s="786"/>
      <c r="BO37" s="459"/>
      <c r="BR37" s="509">
        <f t="shared" si="0"/>
        <v>840.5</v>
      </c>
      <c r="BS37" s="509"/>
      <c r="BT37" s="509"/>
      <c r="BU37" s="509"/>
      <c r="BW37" s="461"/>
      <c r="BX37" s="397"/>
    </row>
    <row r="38" spans="1:76" s="460" customFormat="1" ht="12">
      <c r="A38" s="459"/>
      <c r="B38" s="805"/>
      <c r="C38" s="805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7"/>
      <c r="X38" s="808"/>
      <c r="Y38" s="809"/>
      <c r="Z38" s="810"/>
      <c r="AA38" s="811"/>
      <c r="AB38" s="776"/>
      <c r="AC38" s="777"/>
      <c r="AD38" s="777"/>
      <c r="AE38" s="778"/>
      <c r="AF38" s="779"/>
      <c r="AG38" s="780"/>
      <c r="AH38" s="780"/>
      <c r="AI38" s="780"/>
      <c r="AJ38" s="780"/>
      <c r="AK38" s="812"/>
      <c r="AL38" s="813"/>
      <c r="AM38" s="813"/>
      <c r="AN38" s="813"/>
      <c r="AO38" s="814"/>
      <c r="AP38" s="815"/>
      <c r="AQ38" s="815"/>
      <c r="AR38" s="815"/>
      <c r="AS38" s="815"/>
      <c r="AT38" s="815"/>
      <c r="AU38" s="816"/>
      <c r="AV38" s="816"/>
      <c r="AW38" s="816"/>
      <c r="AX38" s="816"/>
      <c r="AY38" s="816"/>
      <c r="AZ38" s="786"/>
      <c r="BA38" s="786"/>
      <c r="BB38" s="786"/>
      <c r="BC38" s="786"/>
      <c r="BD38" s="786"/>
      <c r="BE38" s="786"/>
      <c r="BF38" s="786"/>
      <c r="BG38" s="786"/>
      <c r="BH38" s="786"/>
      <c r="BI38" s="786"/>
      <c r="BJ38" s="786"/>
      <c r="BK38" s="786"/>
      <c r="BL38" s="786"/>
      <c r="BM38" s="786"/>
      <c r="BN38" s="786"/>
      <c r="BO38" s="459"/>
      <c r="BR38" s="509">
        <f t="shared" si="0"/>
        <v>0</v>
      </c>
      <c r="BS38" s="509"/>
      <c r="BT38" s="509"/>
      <c r="BU38" s="509"/>
      <c r="BW38" s="461"/>
      <c r="BX38" s="397"/>
    </row>
    <row r="39" spans="1:76" s="457" customFormat="1" ht="12" customHeight="1">
      <c r="A39" s="456"/>
      <c r="B39" s="787">
        <f>'[1]PLANILHA CONTRATO'!A45</f>
        <v>3</v>
      </c>
      <c r="C39" s="787"/>
      <c r="D39" s="788" t="str">
        <f>'[1]PLANILHA CONTRATO'!C45</f>
        <v>PAVIMENTAÇÃO EM CBUQ</v>
      </c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817"/>
      <c r="X39" s="790"/>
      <c r="Y39" s="791"/>
      <c r="Z39" s="792"/>
      <c r="AA39" s="793"/>
      <c r="AB39" s="794"/>
      <c r="AC39" s="795"/>
      <c r="AD39" s="795"/>
      <c r="AE39" s="796"/>
      <c r="AF39" s="797"/>
      <c r="AG39" s="798"/>
      <c r="AH39" s="798"/>
      <c r="AI39" s="798"/>
      <c r="AJ39" s="798"/>
      <c r="AK39" s="812"/>
      <c r="AL39" s="813"/>
      <c r="AM39" s="813"/>
      <c r="AN39" s="813"/>
      <c r="AO39" s="814"/>
      <c r="AP39" s="815"/>
      <c r="AQ39" s="815"/>
      <c r="AR39" s="815"/>
      <c r="AS39" s="815"/>
      <c r="AT39" s="815"/>
      <c r="AU39" s="803"/>
      <c r="AV39" s="803"/>
      <c r="AW39" s="803"/>
      <c r="AX39" s="803"/>
      <c r="AY39" s="803"/>
      <c r="AZ39" s="804"/>
      <c r="BA39" s="804"/>
      <c r="BB39" s="804"/>
      <c r="BC39" s="804"/>
      <c r="BD39" s="804"/>
      <c r="BE39" s="804"/>
      <c r="BF39" s="804"/>
      <c r="BG39" s="804"/>
      <c r="BH39" s="804"/>
      <c r="BI39" s="804"/>
      <c r="BJ39" s="804"/>
      <c r="BK39" s="804"/>
      <c r="BL39" s="804"/>
      <c r="BM39" s="804"/>
      <c r="BN39" s="804"/>
      <c r="BO39" s="456"/>
      <c r="BR39" s="509">
        <f t="shared" si="0"/>
        <v>0</v>
      </c>
      <c r="BS39" s="509"/>
      <c r="BT39" s="509"/>
      <c r="BU39" s="509"/>
      <c r="BW39" s="462"/>
      <c r="BX39" s="447"/>
    </row>
    <row r="40" spans="1:76" s="460" customFormat="1" ht="62.25" customHeight="1">
      <c r="A40" s="459"/>
      <c r="B40" s="805" t="str">
        <f>'[1]PLANILHA CONTRATO'!A46</f>
        <v>3.1</v>
      </c>
      <c r="C40" s="805"/>
      <c r="D40" s="806" t="str">
        <f>'[1]PLANILHA CONTRATO'!C46</f>
        <v>ESCAVACAO E CARGA MATERIAL 1A CATEGORIA, UTILIZANDO TRATOR DE ESTEIRAS DE 110 A 160HP COM LAMINA, PESO OPERACIONAL * 13T E PA CARREGADEIRA COM 170 HP (DEMOLIÇÃO DE ASFALTO E REMOÇÃO DE BASE PARA SUBSTITUIÇÃO).</v>
      </c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7" t="str">
        <f>'[1]PLANILHA CONTRATO'!D46</f>
        <v>M3</v>
      </c>
      <c r="X40" s="808"/>
      <c r="Y40" s="809">
        <f>'[1]PLANILHA CONTRATO'!E46</f>
        <v>2092.91</v>
      </c>
      <c r="Z40" s="810"/>
      <c r="AA40" s="811"/>
      <c r="AB40" s="776">
        <f>'[1]PLANILHA CONTRATO'!G46</f>
        <v>3.65</v>
      </c>
      <c r="AC40" s="777"/>
      <c r="AD40" s="777"/>
      <c r="AE40" s="778"/>
      <c r="AF40" s="779">
        <f t="shared" si="1"/>
        <v>7639.12</v>
      </c>
      <c r="AG40" s="780"/>
      <c r="AH40" s="780"/>
      <c r="AI40" s="780"/>
      <c r="AJ40" s="780"/>
      <c r="AK40" s="812">
        <f>'[1]BM Nº03 + BM Nº01_CAIXA'!AU40</f>
        <v>1</v>
      </c>
      <c r="AL40" s="813"/>
      <c r="AM40" s="813"/>
      <c r="AN40" s="813"/>
      <c r="AO40" s="814"/>
      <c r="AP40" s="815">
        <v>0</v>
      </c>
      <c r="AQ40" s="815"/>
      <c r="AR40" s="815"/>
      <c r="AS40" s="815"/>
      <c r="AT40" s="815"/>
      <c r="AU40" s="816">
        <f t="shared" si="2"/>
        <v>1</v>
      </c>
      <c r="AV40" s="816"/>
      <c r="AW40" s="816"/>
      <c r="AX40" s="816"/>
      <c r="AY40" s="816"/>
      <c r="AZ40" s="786">
        <f t="shared" si="3"/>
        <v>7639.12</v>
      </c>
      <c r="BA40" s="786"/>
      <c r="BB40" s="786"/>
      <c r="BC40" s="786"/>
      <c r="BD40" s="786"/>
      <c r="BE40" s="786">
        <f t="shared" si="4"/>
        <v>0</v>
      </c>
      <c r="BF40" s="786"/>
      <c r="BG40" s="786"/>
      <c r="BH40" s="786"/>
      <c r="BI40" s="786"/>
      <c r="BJ40" s="786">
        <f t="shared" si="5"/>
        <v>7639.12</v>
      </c>
      <c r="BK40" s="786"/>
      <c r="BL40" s="786"/>
      <c r="BM40" s="786"/>
      <c r="BN40" s="786"/>
      <c r="BO40" s="459"/>
      <c r="BR40" s="509">
        <f t="shared" si="0"/>
        <v>2092.91</v>
      </c>
      <c r="BS40" s="509"/>
      <c r="BT40" s="509"/>
      <c r="BU40" s="509"/>
      <c r="BW40" s="461">
        <f>BE40</f>
        <v>0</v>
      </c>
      <c r="BX40" s="463">
        <f>BJ40</f>
        <v>7639.12</v>
      </c>
    </row>
    <row r="41" spans="1:76" s="460" customFormat="1" ht="36.75" customHeight="1">
      <c r="A41" s="459"/>
      <c r="B41" s="805" t="str">
        <f>'[1]PLANILHA CONTRATO'!A47</f>
        <v>3.2</v>
      </c>
      <c r="C41" s="805"/>
      <c r="D41" s="806" t="str">
        <f>'[1]PLANILHA CONTRATO'!C47</f>
        <v>DEMOLIÇÃO DE PAVIMENTAÇÃO ASFÁLTICA COM UTILIZAÇÃO DE MARTELO PERFURADOR, ESPESSURA ATÉ 15 CM, EXCLUSIVE CARGA E TRANSPORTE</v>
      </c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7" t="str">
        <f>'[1]PLANILHA CONTRATO'!D47</f>
        <v>M2</v>
      </c>
      <c r="X41" s="808"/>
      <c r="Y41" s="809">
        <f>'[1]PLANILHA CONTRATO'!E47</f>
        <v>54.67</v>
      </c>
      <c r="Z41" s="810"/>
      <c r="AA41" s="811"/>
      <c r="AB41" s="776">
        <f>'[1]PLANILHA CONTRATO'!G47</f>
        <v>10.5</v>
      </c>
      <c r="AC41" s="777"/>
      <c r="AD41" s="777"/>
      <c r="AE41" s="778"/>
      <c r="AF41" s="779">
        <f t="shared" si="1"/>
        <v>574.04</v>
      </c>
      <c r="AG41" s="780"/>
      <c r="AH41" s="780"/>
      <c r="AI41" s="780"/>
      <c r="AJ41" s="780"/>
      <c r="AK41" s="812">
        <f>'[1]BM Nº03 + BM Nº01_CAIXA'!AU41</f>
        <v>1</v>
      </c>
      <c r="AL41" s="813"/>
      <c r="AM41" s="813"/>
      <c r="AN41" s="813"/>
      <c r="AO41" s="814"/>
      <c r="AP41" s="815">
        <v>0</v>
      </c>
      <c r="AQ41" s="815"/>
      <c r="AR41" s="815"/>
      <c r="AS41" s="815"/>
      <c r="AT41" s="815"/>
      <c r="AU41" s="816">
        <f t="shared" si="2"/>
        <v>1</v>
      </c>
      <c r="AV41" s="816"/>
      <c r="AW41" s="816"/>
      <c r="AX41" s="816"/>
      <c r="AY41" s="816"/>
      <c r="AZ41" s="786">
        <f t="shared" si="3"/>
        <v>574.04</v>
      </c>
      <c r="BA41" s="786"/>
      <c r="BB41" s="786"/>
      <c r="BC41" s="786"/>
      <c r="BD41" s="786"/>
      <c r="BE41" s="786">
        <f t="shared" si="4"/>
        <v>0</v>
      </c>
      <c r="BF41" s="786"/>
      <c r="BG41" s="786"/>
      <c r="BH41" s="786"/>
      <c r="BI41" s="786"/>
      <c r="BJ41" s="786">
        <f t="shared" si="5"/>
        <v>574.04</v>
      </c>
      <c r="BK41" s="786"/>
      <c r="BL41" s="786"/>
      <c r="BM41" s="786"/>
      <c r="BN41" s="786"/>
      <c r="BO41" s="459"/>
      <c r="BR41" s="509">
        <f t="shared" si="0"/>
        <v>54.67</v>
      </c>
      <c r="BS41" s="509"/>
      <c r="BT41" s="509"/>
      <c r="BU41" s="509"/>
      <c r="BW41" s="461">
        <f aca="true" t="shared" si="6" ref="BW41:BW51">BE41</f>
        <v>0</v>
      </c>
      <c r="BX41" s="463">
        <f aca="true" t="shared" si="7" ref="BX41:BX51">BJ41</f>
        <v>574.04</v>
      </c>
    </row>
    <row r="42" spans="1:76" s="460" customFormat="1" ht="34.5" customHeight="1">
      <c r="A42" s="459"/>
      <c r="B42" s="805" t="str">
        <f>'[1]PLANILHA CONTRATO'!A48</f>
        <v>3.3</v>
      </c>
      <c r="C42" s="805"/>
      <c r="D42" s="806" t="str">
        <f>'[1]PLANILHA CONTRATO'!C48</f>
        <v>CARGA, MANOBRAS E DESCARGA DE AREIA, BRITA, PEDRA DE MAO E SOLOS COM CAMINHAO BASCULANTE 6 M3 (DESCARGA LIVRE)</v>
      </c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7" t="str">
        <f>'[1]PLANILHA CONTRATO'!D48</f>
        <v>M3</v>
      </c>
      <c r="X42" s="808"/>
      <c r="Y42" s="809">
        <f>'[1]PLANILHA CONTRATO'!E48</f>
        <v>2106.58</v>
      </c>
      <c r="Z42" s="810"/>
      <c r="AA42" s="811"/>
      <c r="AB42" s="776">
        <f>'[1]PLANILHA CONTRATO'!G48</f>
        <v>1.04</v>
      </c>
      <c r="AC42" s="777"/>
      <c r="AD42" s="777"/>
      <c r="AE42" s="778"/>
      <c r="AF42" s="779">
        <f t="shared" si="1"/>
        <v>2190.84</v>
      </c>
      <c r="AG42" s="780"/>
      <c r="AH42" s="780"/>
      <c r="AI42" s="780"/>
      <c r="AJ42" s="780"/>
      <c r="AK42" s="812">
        <f>'[1]BM Nº03 + BM Nº01_CAIXA'!AU42</f>
        <v>1</v>
      </c>
      <c r="AL42" s="813"/>
      <c r="AM42" s="813"/>
      <c r="AN42" s="813"/>
      <c r="AO42" s="814"/>
      <c r="AP42" s="815">
        <v>0</v>
      </c>
      <c r="AQ42" s="815"/>
      <c r="AR42" s="815"/>
      <c r="AS42" s="815"/>
      <c r="AT42" s="815"/>
      <c r="AU42" s="816">
        <f t="shared" si="2"/>
        <v>1</v>
      </c>
      <c r="AV42" s="816"/>
      <c r="AW42" s="816"/>
      <c r="AX42" s="816"/>
      <c r="AY42" s="816"/>
      <c r="AZ42" s="786">
        <f t="shared" si="3"/>
        <v>2190.84</v>
      </c>
      <c r="BA42" s="786"/>
      <c r="BB42" s="786"/>
      <c r="BC42" s="786"/>
      <c r="BD42" s="786"/>
      <c r="BE42" s="786">
        <f t="shared" si="4"/>
        <v>0</v>
      </c>
      <c r="BF42" s="786"/>
      <c r="BG42" s="786"/>
      <c r="BH42" s="786"/>
      <c r="BI42" s="786"/>
      <c r="BJ42" s="786">
        <f t="shared" si="5"/>
        <v>2190.84</v>
      </c>
      <c r="BK42" s="786"/>
      <c r="BL42" s="786"/>
      <c r="BM42" s="786"/>
      <c r="BN42" s="786"/>
      <c r="BO42" s="459"/>
      <c r="BR42" s="509">
        <f t="shared" si="0"/>
        <v>2106.58</v>
      </c>
      <c r="BS42" s="509"/>
      <c r="BT42" s="509"/>
      <c r="BU42" s="509"/>
      <c r="BW42" s="461">
        <f t="shared" si="6"/>
        <v>0</v>
      </c>
      <c r="BX42" s="463">
        <f t="shared" si="7"/>
        <v>2190.84</v>
      </c>
    </row>
    <row r="43" spans="1:76" s="460" customFormat="1" ht="24" customHeight="1">
      <c r="A43" s="459"/>
      <c r="B43" s="805" t="str">
        <f>'[1]PLANILHA CONTRATO'!A49</f>
        <v>3.4</v>
      </c>
      <c r="C43" s="805"/>
      <c r="D43" s="806" t="str">
        <f>'[1]PLANILHA CONTRATO'!C49</f>
        <v>TRANSPORTE DE PAVIMENTACAO REMOVIDA (RODOVIAS NAO URBANAS)</v>
      </c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7" t="str">
        <f>'[1]PLANILHA CONTRATO'!D49</f>
        <v>M3XKM</v>
      </c>
      <c r="X43" s="808"/>
      <c r="Y43" s="809">
        <f>'[1]PLANILHA CONTRATO'!E49</f>
        <v>3159.87</v>
      </c>
      <c r="Z43" s="810"/>
      <c r="AA43" s="811"/>
      <c r="AB43" s="776">
        <f>'[1]PLANILHA CONTRATO'!G49</f>
        <v>1.49</v>
      </c>
      <c r="AC43" s="777"/>
      <c r="AD43" s="777"/>
      <c r="AE43" s="778"/>
      <c r="AF43" s="779">
        <f t="shared" si="1"/>
        <v>4708.21</v>
      </c>
      <c r="AG43" s="780"/>
      <c r="AH43" s="780"/>
      <c r="AI43" s="780"/>
      <c r="AJ43" s="780"/>
      <c r="AK43" s="812">
        <f>'[1]BM Nº03 + BM Nº01_CAIXA'!AU43</f>
        <v>1</v>
      </c>
      <c r="AL43" s="813"/>
      <c r="AM43" s="813"/>
      <c r="AN43" s="813"/>
      <c r="AO43" s="814"/>
      <c r="AP43" s="815">
        <v>0</v>
      </c>
      <c r="AQ43" s="815"/>
      <c r="AR43" s="815"/>
      <c r="AS43" s="815"/>
      <c r="AT43" s="815"/>
      <c r="AU43" s="816">
        <f t="shared" si="2"/>
        <v>1</v>
      </c>
      <c r="AV43" s="816"/>
      <c r="AW43" s="816"/>
      <c r="AX43" s="816"/>
      <c r="AY43" s="816"/>
      <c r="AZ43" s="786">
        <f t="shared" si="3"/>
        <v>4708.21</v>
      </c>
      <c r="BA43" s="786"/>
      <c r="BB43" s="786"/>
      <c r="BC43" s="786"/>
      <c r="BD43" s="786"/>
      <c r="BE43" s="786">
        <f t="shared" si="4"/>
        <v>0</v>
      </c>
      <c r="BF43" s="786"/>
      <c r="BG43" s="786"/>
      <c r="BH43" s="786"/>
      <c r="BI43" s="786"/>
      <c r="BJ43" s="786">
        <f t="shared" si="5"/>
        <v>4708.21</v>
      </c>
      <c r="BK43" s="786"/>
      <c r="BL43" s="786"/>
      <c r="BM43" s="786"/>
      <c r="BN43" s="786"/>
      <c r="BO43" s="459"/>
      <c r="BR43" s="509">
        <f t="shared" si="0"/>
        <v>3159.87</v>
      </c>
      <c r="BS43" s="509"/>
      <c r="BT43" s="509"/>
      <c r="BU43" s="509"/>
      <c r="BW43" s="461">
        <f t="shared" si="6"/>
        <v>0</v>
      </c>
      <c r="BX43" s="463">
        <f t="shared" si="7"/>
        <v>4708.21</v>
      </c>
    </row>
    <row r="44" spans="1:76" s="460" customFormat="1" ht="23.25" customHeight="1">
      <c r="A44" s="459"/>
      <c r="B44" s="805" t="str">
        <f>'[1]PLANILHA CONTRATO'!A50</f>
        <v>3.5</v>
      </c>
      <c r="C44" s="805"/>
      <c r="D44" s="806" t="str">
        <f>'[1]PLANILHA CONTRATO'!C50</f>
        <v>REGULARIZACAO E COMPACTACAO DE SUBLEITO ATE 20 CM DE ESPESSURA</v>
      </c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7" t="str">
        <f>'[1]PLANILHA CONTRATO'!D50</f>
        <v>M2</v>
      </c>
      <c r="X44" s="808"/>
      <c r="Y44" s="809">
        <f>'[1]PLANILHA CONTRATO'!E50</f>
        <v>8426.32</v>
      </c>
      <c r="Z44" s="810"/>
      <c r="AA44" s="811"/>
      <c r="AB44" s="776">
        <f>'[1]PLANILHA CONTRATO'!G50</f>
        <v>1.31</v>
      </c>
      <c r="AC44" s="777"/>
      <c r="AD44" s="777"/>
      <c r="AE44" s="778"/>
      <c r="AF44" s="779">
        <f t="shared" si="1"/>
        <v>11038.48</v>
      </c>
      <c r="AG44" s="780"/>
      <c r="AH44" s="780"/>
      <c r="AI44" s="780"/>
      <c r="AJ44" s="780"/>
      <c r="AK44" s="812">
        <f>'[1]BM Nº03 + BM Nº01_CAIXA'!AU44</f>
        <v>1</v>
      </c>
      <c r="AL44" s="813"/>
      <c r="AM44" s="813"/>
      <c r="AN44" s="813"/>
      <c r="AO44" s="814"/>
      <c r="AP44" s="815">
        <v>0</v>
      </c>
      <c r="AQ44" s="815"/>
      <c r="AR44" s="815"/>
      <c r="AS44" s="815"/>
      <c r="AT44" s="815"/>
      <c r="AU44" s="816">
        <f t="shared" si="2"/>
        <v>1</v>
      </c>
      <c r="AV44" s="816"/>
      <c r="AW44" s="816"/>
      <c r="AX44" s="816"/>
      <c r="AY44" s="816"/>
      <c r="AZ44" s="786">
        <f t="shared" si="3"/>
        <v>11038.48</v>
      </c>
      <c r="BA44" s="786"/>
      <c r="BB44" s="786"/>
      <c r="BC44" s="786"/>
      <c r="BD44" s="786"/>
      <c r="BE44" s="786">
        <f t="shared" si="4"/>
        <v>0</v>
      </c>
      <c r="BF44" s="786"/>
      <c r="BG44" s="786"/>
      <c r="BH44" s="786"/>
      <c r="BI44" s="786"/>
      <c r="BJ44" s="786">
        <f t="shared" si="5"/>
        <v>11038.48</v>
      </c>
      <c r="BK44" s="786"/>
      <c r="BL44" s="786"/>
      <c r="BM44" s="786"/>
      <c r="BN44" s="786"/>
      <c r="BO44" s="459"/>
      <c r="BR44" s="509">
        <f t="shared" si="0"/>
        <v>8426.32</v>
      </c>
      <c r="BS44" s="509"/>
      <c r="BT44" s="509"/>
      <c r="BU44" s="509"/>
      <c r="BW44" s="461">
        <f t="shared" si="6"/>
        <v>0</v>
      </c>
      <c r="BX44" s="463">
        <f t="shared" si="7"/>
        <v>11038.48</v>
      </c>
    </row>
    <row r="45" spans="1:76" s="460" customFormat="1" ht="47.25" customHeight="1">
      <c r="A45" s="459"/>
      <c r="B45" s="805" t="str">
        <f>'[1]PLANILHA CONTRATO'!A51</f>
        <v>3.6</v>
      </c>
      <c r="C45" s="805"/>
      <c r="D45" s="806" t="str">
        <f>'[1]PLANILHA CONTRATO'!C51</f>
        <v>ESCAVACAO E CARGA MATERIAL 1A CATEGORIA, UTILIZANDO TRATOR DE ESTEIRAS DE 110 A 160HP COM LAMINA, PESO OPERACIONAL * 13T E PA CARREGADEIRA
COM 170 HP (EXECUÇÃO DE BASE).</v>
      </c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7" t="str">
        <f>'[1]PLANILHA CONTRATO'!D51</f>
        <v>M3</v>
      </c>
      <c r="X45" s="808"/>
      <c r="Y45" s="809">
        <f>'[1]PLANILHA CONTRATO'!E51</f>
        <v>1685.26</v>
      </c>
      <c r="Z45" s="810"/>
      <c r="AA45" s="811"/>
      <c r="AB45" s="776">
        <f>'[1]PLANILHA CONTRATO'!G51</f>
        <v>3.65</v>
      </c>
      <c r="AC45" s="777"/>
      <c r="AD45" s="777"/>
      <c r="AE45" s="778"/>
      <c r="AF45" s="779">
        <f t="shared" si="1"/>
        <v>6151.2</v>
      </c>
      <c r="AG45" s="780"/>
      <c r="AH45" s="780"/>
      <c r="AI45" s="780"/>
      <c r="AJ45" s="780"/>
      <c r="AK45" s="812">
        <f>'[1]BM Nº03 + BM Nº01_CAIXA'!AU45</f>
        <v>1</v>
      </c>
      <c r="AL45" s="813"/>
      <c r="AM45" s="813"/>
      <c r="AN45" s="813"/>
      <c r="AO45" s="814"/>
      <c r="AP45" s="815">
        <v>0</v>
      </c>
      <c r="AQ45" s="815"/>
      <c r="AR45" s="815"/>
      <c r="AS45" s="815"/>
      <c r="AT45" s="815"/>
      <c r="AU45" s="816">
        <f t="shared" si="2"/>
        <v>1</v>
      </c>
      <c r="AV45" s="816"/>
      <c r="AW45" s="816"/>
      <c r="AX45" s="816"/>
      <c r="AY45" s="816"/>
      <c r="AZ45" s="786">
        <f t="shared" si="3"/>
        <v>6151.2</v>
      </c>
      <c r="BA45" s="786"/>
      <c r="BB45" s="786"/>
      <c r="BC45" s="786"/>
      <c r="BD45" s="786"/>
      <c r="BE45" s="786">
        <f t="shared" si="4"/>
        <v>0</v>
      </c>
      <c r="BF45" s="786"/>
      <c r="BG45" s="786"/>
      <c r="BH45" s="786"/>
      <c r="BI45" s="786"/>
      <c r="BJ45" s="786">
        <f t="shared" si="5"/>
        <v>6151.2</v>
      </c>
      <c r="BK45" s="786"/>
      <c r="BL45" s="786"/>
      <c r="BM45" s="786"/>
      <c r="BN45" s="786"/>
      <c r="BO45" s="459"/>
      <c r="BR45" s="509">
        <f t="shared" si="0"/>
        <v>1685.26</v>
      </c>
      <c r="BS45" s="509"/>
      <c r="BT45" s="509"/>
      <c r="BU45" s="509"/>
      <c r="BW45" s="461">
        <f t="shared" si="6"/>
        <v>0</v>
      </c>
      <c r="BX45" s="463">
        <f t="shared" si="7"/>
        <v>6151.2</v>
      </c>
    </row>
    <row r="46" spans="1:76" s="460" customFormat="1" ht="24.75" customHeight="1">
      <c r="A46" s="459"/>
      <c r="B46" s="805" t="str">
        <f>'[1]PLANILHA CONTRATO'!A52</f>
        <v>3.7</v>
      </c>
      <c r="C46" s="805"/>
      <c r="D46" s="806" t="str">
        <f>'[1]PLANILHA CONTRATO'!C52</f>
        <v>TRANSPORTE COMERCIAL COM CAMINHAO BASCULANTE 6 M3, RODOVIA EM LEITO NATURAL (EXECUÇÃO DE BASE)</v>
      </c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7" t="str">
        <f>'[1]PLANILHA CONTRATO'!D52</f>
        <v>TXKM</v>
      </c>
      <c r="X46" s="808"/>
      <c r="Y46" s="809">
        <f>'[1]PLANILHA CONTRATO'!E52</f>
        <v>10516.05</v>
      </c>
      <c r="Z46" s="810"/>
      <c r="AA46" s="811"/>
      <c r="AB46" s="776">
        <f>'[1]PLANILHA CONTRATO'!G52</f>
        <v>0.99</v>
      </c>
      <c r="AC46" s="777"/>
      <c r="AD46" s="777"/>
      <c r="AE46" s="778"/>
      <c r="AF46" s="779">
        <f t="shared" si="1"/>
        <v>10410.89</v>
      </c>
      <c r="AG46" s="780"/>
      <c r="AH46" s="780"/>
      <c r="AI46" s="780"/>
      <c r="AJ46" s="780"/>
      <c r="AK46" s="812">
        <f>'[1]BM Nº03 + BM Nº01_CAIXA'!AU46</f>
        <v>1</v>
      </c>
      <c r="AL46" s="813"/>
      <c r="AM46" s="813"/>
      <c r="AN46" s="813"/>
      <c r="AO46" s="814"/>
      <c r="AP46" s="815">
        <v>0</v>
      </c>
      <c r="AQ46" s="815"/>
      <c r="AR46" s="815"/>
      <c r="AS46" s="815"/>
      <c r="AT46" s="815"/>
      <c r="AU46" s="816">
        <f t="shared" si="2"/>
        <v>1</v>
      </c>
      <c r="AV46" s="816"/>
      <c r="AW46" s="816"/>
      <c r="AX46" s="816"/>
      <c r="AY46" s="816"/>
      <c r="AZ46" s="786">
        <f t="shared" si="3"/>
        <v>10410.89</v>
      </c>
      <c r="BA46" s="786"/>
      <c r="BB46" s="786"/>
      <c r="BC46" s="786"/>
      <c r="BD46" s="786"/>
      <c r="BE46" s="786">
        <f t="shared" si="4"/>
        <v>0</v>
      </c>
      <c r="BF46" s="786"/>
      <c r="BG46" s="786"/>
      <c r="BH46" s="786"/>
      <c r="BI46" s="786"/>
      <c r="BJ46" s="786">
        <f t="shared" si="5"/>
        <v>10410.89</v>
      </c>
      <c r="BK46" s="786"/>
      <c r="BL46" s="786"/>
      <c r="BM46" s="786"/>
      <c r="BN46" s="786"/>
      <c r="BO46" s="459"/>
      <c r="BR46" s="509">
        <f t="shared" si="0"/>
        <v>10516.05</v>
      </c>
      <c r="BS46" s="509"/>
      <c r="BT46" s="509"/>
      <c r="BU46" s="509"/>
      <c r="BW46" s="461">
        <f t="shared" si="6"/>
        <v>0</v>
      </c>
      <c r="BX46" s="463">
        <f t="shared" si="7"/>
        <v>10410.89</v>
      </c>
    </row>
    <row r="47" spans="1:76" s="460" customFormat="1" ht="35.25" customHeight="1">
      <c r="A47" s="459"/>
      <c r="B47" s="805" t="str">
        <f>'[1]PLANILHA CONTRATO'!A53</f>
        <v>3.8</v>
      </c>
      <c r="C47" s="805"/>
      <c r="D47" s="806" t="str">
        <f>'[1]PLANILHA CONTRATO'!C53</f>
        <v>BASE DE SOLO ESTABILIZADO SEM MISTURA, COMPACTACAO 100% PROCTOR NORMAL, EXCLUSIVE ESCAVACAO, CARGA E TRANSPORTE DO SOLO</v>
      </c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7" t="str">
        <f>'[1]PLANILHA CONTRATO'!D53</f>
        <v>M3</v>
      </c>
      <c r="X47" s="808"/>
      <c r="Y47" s="809">
        <f>'[1]PLANILHA CONTRATO'!E53</f>
        <v>1685.26</v>
      </c>
      <c r="Z47" s="810"/>
      <c r="AA47" s="811"/>
      <c r="AB47" s="776">
        <f>'[1]PLANILHA CONTRATO'!G53</f>
        <v>10.07</v>
      </c>
      <c r="AC47" s="777"/>
      <c r="AD47" s="777"/>
      <c r="AE47" s="778"/>
      <c r="AF47" s="779">
        <f t="shared" si="1"/>
        <v>16970.57</v>
      </c>
      <c r="AG47" s="780"/>
      <c r="AH47" s="780"/>
      <c r="AI47" s="780"/>
      <c r="AJ47" s="780"/>
      <c r="AK47" s="812">
        <f>'[1]BM Nº03 + BM Nº01_CAIXA'!AU47</f>
        <v>1</v>
      </c>
      <c r="AL47" s="813"/>
      <c r="AM47" s="813"/>
      <c r="AN47" s="813"/>
      <c r="AO47" s="814"/>
      <c r="AP47" s="815">
        <v>0</v>
      </c>
      <c r="AQ47" s="815"/>
      <c r="AR47" s="815"/>
      <c r="AS47" s="815"/>
      <c r="AT47" s="815"/>
      <c r="AU47" s="816">
        <f t="shared" si="2"/>
        <v>1</v>
      </c>
      <c r="AV47" s="816"/>
      <c r="AW47" s="816"/>
      <c r="AX47" s="816"/>
      <c r="AY47" s="816"/>
      <c r="AZ47" s="786">
        <f t="shared" si="3"/>
        <v>16970.57</v>
      </c>
      <c r="BA47" s="786"/>
      <c r="BB47" s="786"/>
      <c r="BC47" s="786"/>
      <c r="BD47" s="786"/>
      <c r="BE47" s="786">
        <f t="shared" si="4"/>
        <v>0</v>
      </c>
      <c r="BF47" s="786"/>
      <c r="BG47" s="786"/>
      <c r="BH47" s="786"/>
      <c r="BI47" s="786"/>
      <c r="BJ47" s="786">
        <f t="shared" si="5"/>
        <v>16970.57</v>
      </c>
      <c r="BK47" s="786"/>
      <c r="BL47" s="786"/>
      <c r="BM47" s="786"/>
      <c r="BN47" s="786"/>
      <c r="BO47" s="459"/>
      <c r="BR47" s="509">
        <f t="shared" si="0"/>
        <v>1685.26</v>
      </c>
      <c r="BS47" s="509"/>
      <c r="BT47" s="509"/>
      <c r="BU47" s="509"/>
      <c r="BW47" s="461">
        <f t="shared" si="6"/>
        <v>0</v>
      </c>
      <c r="BX47" s="463">
        <f t="shared" si="7"/>
        <v>16970.57</v>
      </c>
    </row>
    <row r="48" spans="1:76" s="460" customFormat="1" ht="23.25" customHeight="1">
      <c r="A48" s="459"/>
      <c r="B48" s="805" t="str">
        <f>'[1]PLANILHA CONTRATO'!A54</f>
        <v>3.9</v>
      </c>
      <c r="C48" s="805"/>
      <c r="D48" s="806" t="str">
        <f>'[1]PLANILHA CONTRATO'!C54</f>
        <v>TRANSPORTE COMERCIAL COM CAMINHAO BASCULANTE 6 M3, RODOVIA PAVIMENTADA (CM-30)</v>
      </c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7" t="str">
        <f>'[1]PLANILHA CONTRATO'!D54</f>
        <v>TXKM</v>
      </c>
      <c r="X48" s="808"/>
      <c r="Y48" s="809">
        <f>'[1]PLANILHA CONTRATO'!E54</f>
        <v>700.93</v>
      </c>
      <c r="Z48" s="810"/>
      <c r="AA48" s="811"/>
      <c r="AB48" s="776">
        <f>'[1]PLANILHA CONTRATO'!G54</f>
        <v>0.67</v>
      </c>
      <c r="AC48" s="777"/>
      <c r="AD48" s="777"/>
      <c r="AE48" s="778"/>
      <c r="AF48" s="779">
        <f t="shared" si="1"/>
        <v>469.62</v>
      </c>
      <c r="AG48" s="780"/>
      <c r="AH48" s="780"/>
      <c r="AI48" s="780"/>
      <c r="AJ48" s="780"/>
      <c r="AK48" s="812">
        <f>'[1]BM Nº03 + BM Nº01_CAIXA'!AU48</f>
        <v>0.5393229</v>
      </c>
      <c r="AL48" s="813"/>
      <c r="AM48" s="813"/>
      <c r="AN48" s="813"/>
      <c r="AO48" s="814"/>
      <c r="AP48" s="815">
        <f>100%-AK48</f>
        <v>0.46067709999999995</v>
      </c>
      <c r="AQ48" s="815"/>
      <c r="AR48" s="815"/>
      <c r="AS48" s="815"/>
      <c r="AT48" s="815"/>
      <c r="AU48" s="816">
        <f t="shared" si="2"/>
        <v>1</v>
      </c>
      <c r="AV48" s="816"/>
      <c r="AW48" s="816"/>
      <c r="AX48" s="816"/>
      <c r="AY48" s="816"/>
      <c r="AZ48" s="786">
        <f t="shared" si="3"/>
        <v>253.27682029800002</v>
      </c>
      <c r="BA48" s="786"/>
      <c r="BB48" s="786"/>
      <c r="BC48" s="786"/>
      <c r="BD48" s="786"/>
      <c r="BE48" s="786">
        <f t="shared" si="4"/>
        <v>216.343179702</v>
      </c>
      <c r="BF48" s="786"/>
      <c r="BG48" s="786"/>
      <c r="BH48" s="786"/>
      <c r="BI48" s="786"/>
      <c r="BJ48" s="786">
        <f t="shared" si="5"/>
        <v>469.62</v>
      </c>
      <c r="BK48" s="786"/>
      <c r="BL48" s="786"/>
      <c r="BM48" s="786"/>
      <c r="BN48" s="786"/>
      <c r="BO48" s="459"/>
      <c r="BR48" s="509">
        <f t="shared" si="0"/>
        <v>700.93</v>
      </c>
      <c r="BS48" s="509"/>
      <c r="BT48" s="509"/>
      <c r="BU48" s="509"/>
      <c r="BW48" s="461">
        <f t="shared" si="6"/>
        <v>216.343179702</v>
      </c>
      <c r="BX48" s="463">
        <f t="shared" si="7"/>
        <v>469.62</v>
      </c>
    </row>
    <row r="49" spans="1:76" s="460" customFormat="1" ht="12.75" customHeight="1">
      <c r="A49" s="459"/>
      <c r="B49" s="805" t="str">
        <f>'[1]PLANILHA CONTRATO'!A55</f>
        <v>3.10</v>
      </c>
      <c r="C49" s="805"/>
      <c r="D49" s="806" t="str">
        <f>'[1]PLANILHA CONTRATO'!C55</f>
        <v>IMPRIMACAO DE BASE DE PAVIMENTACAO COM EMULSAO CM-30</v>
      </c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7" t="str">
        <f>'[1]PLANILHA CONTRATO'!D55</f>
        <v>M2</v>
      </c>
      <c r="X49" s="808"/>
      <c r="Y49" s="809">
        <f>'[1]PLANILHA CONTRATO'!E55</f>
        <v>8090.12</v>
      </c>
      <c r="Z49" s="810"/>
      <c r="AA49" s="811"/>
      <c r="AB49" s="776">
        <f>'[1]PLANILHA CONTRATO'!G55</f>
        <v>5.08</v>
      </c>
      <c r="AC49" s="777"/>
      <c r="AD49" s="777"/>
      <c r="AE49" s="778"/>
      <c r="AF49" s="779">
        <f t="shared" si="1"/>
        <v>41097.81</v>
      </c>
      <c r="AG49" s="780"/>
      <c r="AH49" s="780"/>
      <c r="AI49" s="780"/>
      <c r="AJ49" s="780"/>
      <c r="AK49" s="812">
        <f>'[1]BM Nº03 + BM Nº01_CAIXA'!AU49</f>
        <v>0.5393229</v>
      </c>
      <c r="AL49" s="813"/>
      <c r="AM49" s="813"/>
      <c r="AN49" s="813"/>
      <c r="AO49" s="814"/>
      <c r="AP49" s="815">
        <f>AP48</f>
        <v>0.46067709999999995</v>
      </c>
      <c r="AQ49" s="815"/>
      <c r="AR49" s="815"/>
      <c r="AS49" s="815"/>
      <c r="AT49" s="815"/>
      <c r="AU49" s="816">
        <f t="shared" si="2"/>
        <v>1</v>
      </c>
      <c r="AV49" s="816"/>
      <c r="AW49" s="816"/>
      <c r="AX49" s="816"/>
      <c r="AY49" s="816"/>
      <c r="AZ49" s="786">
        <f t="shared" si="3"/>
        <v>22164.990072849</v>
      </c>
      <c r="BA49" s="786"/>
      <c r="BB49" s="786"/>
      <c r="BC49" s="786"/>
      <c r="BD49" s="786"/>
      <c r="BE49" s="786">
        <f t="shared" si="4"/>
        <v>18932.819927151</v>
      </c>
      <c r="BF49" s="786"/>
      <c r="BG49" s="786"/>
      <c r="BH49" s="786"/>
      <c r="BI49" s="786"/>
      <c r="BJ49" s="786">
        <f t="shared" si="5"/>
        <v>41097.81</v>
      </c>
      <c r="BK49" s="786"/>
      <c r="BL49" s="786"/>
      <c r="BM49" s="786"/>
      <c r="BN49" s="786"/>
      <c r="BO49" s="459"/>
      <c r="BR49" s="509">
        <f t="shared" si="0"/>
        <v>8090.12</v>
      </c>
      <c r="BS49" s="509"/>
      <c r="BT49" s="509">
        <f>Y49*AP49</f>
        <v>3726.9330202519996</v>
      </c>
      <c r="BU49" s="509"/>
      <c r="BW49" s="461">
        <f t="shared" si="6"/>
        <v>18932.819927151</v>
      </c>
      <c r="BX49" s="463">
        <f t="shared" si="7"/>
        <v>41097.81</v>
      </c>
    </row>
    <row r="50" spans="1:76" s="460" customFormat="1" ht="23.25" customHeight="1">
      <c r="A50" s="459"/>
      <c r="B50" s="805" t="str">
        <f>'[1]PLANILHA CONTRATO'!A56</f>
        <v>3.11</v>
      </c>
      <c r="C50" s="805"/>
      <c r="D50" s="806" t="str">
        <f>'[1]PLANILHA CONTRATO'!C56</f>
        <v>TRANSPORTE COMERCIAL COM CAMINHAO CARROCERIA 9 T, RODOVIA PAVIMENTADA</v>
      </c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7" t="str">
        <f>'[1]PLANILHA CONTRATO'!D56</f>
        <v>TXKM</v>
      </c>
      <c r="X50" s="808"/>
      <c r="Y50" s="809">
        <f>'[1]PLANILHA CONTRATO'!E56</f>
        <v>56074.25</v>
      </c>
      <c r="Z50" s="810"/>
      <c r="AA50" s="811"/>
      <c r="AB50" s="776">
        <f>'[1]PLANILHA CONTRATO'!G56</f>
        <v>0.51</v>
      </c>
      <c r="AC50" s="777"/>
      <c r="AD50" s="777"/>
      <c r="AE50" s="778"/>
      <c r="AF50" s="779">
        <f t="shared" si="1"/>
        <v>28597.87</v>
      </c>
      <c r="AG50" s="780"/>
      <c r="AH50" s="780"/>
      <c r="AI50" s="780"/>
      <c r="AJ50" s="780"/>
      <c r="AK50" s="812">
        <f>'[1]BM Nº03 + BM Nº01_CAIXA'!AU50</f>
        <v>0.5393229</v>
      </c>
      <c r="AL50" s="813"/>
      <c r="AM50" s="813"/>
      <c r="AN50" s="813"/>
      <c r="AO50" s="814"/>
      <c r="AP50" s="815">
        <f>AP48</f>
        <v>0.46067709999999995</v>
      </c>
      <c r="AQ50" s="815"/>
      <c r="AR50" s="815"/>
      <c r="AS50" s="815"/>
      <c r="AT50" s="815"/>
      <c r="AU50" s="816">
        <f t="shared" si="2"/>
        <v>1</v>
      </c>
      <c r="AV50" s="816"/>
      <c r="AW50" s="816"/>
      <c r="AX50" s="816"/>
      <c r="AY50" s="816"/>
      <c r="AZ50" s="786">
        <f t="shared" si="3"/>
        <v>15423.486182223001</v>
      </c>
      <c r="BA50" s="786"/>
      <c r="BB50" s="786"/>
      <c r="BC50" s="786"/>
      <c r="BD50" s="786"/>
      <c r="BE50" s="786">
        <f t="shared" si="4"/>
        <v>13174.383817776998</v>
      </c>
      <c r="BF50" s="786"/>
      <c r="BG50" s="786"/>
      <c r="BH50" s="786"/>
      <c r="BI50" s="786"/>
      <c r="BJ50" s="786">
        <f t="shared" si="5"/>
        <v>28597.87</v>
      </c>
      <c r="BK50" s="786"/>
      <c r="BL50" s="786"/>
      <c r="BM50" s="786"/>
      <c r="BN50" s="786"/>
      <c r="BO50" s="459"/>
      <c r="BR50" s="509">
        <f t="shared" si="0"/>
        <v>56074.25</v>
      </c>
      <c r="BS50" s="509"/>
      <c r="BT50" s="509">
        <f>Y50*AP50</f>
        <v>25832.122874675</v>
      </c>
      <c r="BU50" s="509"/>
      <c r="BW50" s="461">
        <f t="shared" si="6"/>
        <v>13174.383817776998</v>
      </c>
      <c r="BX50" s="463">
        <f t="shared" si="7"/>
        <v>28597.87</v>
      </c>
    </row>
    <row r="51" spans="1:76" s="460" customFormat="1" ht="22.5" customHeight="1">
      <c r="A51" s="459"/>
      <c r="B51" s="805" t="str">
        <f>'[1]PLANILHA CONTRATO'!A57</f>
        <v>3.12</v>
      </c>
      <c r="C51" s="805"/>
      <c r="D51" s="806" t="str">
        <f>'[1]PLANILHA CONTRATO'!C57</f>
        <v> FABRICAÇÃO E APLICAÇÃO DE CONCRETO BETUMINOSO USINADO A QUENTE (CBUQ), CAP 50/70, EXCLUSIVE TRANSPORTE</v>
      </c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7" t="str">
        <f>'[1]PLANILHA CONTRATO'!D57</f>
        <v>T</v>
      </c>
      <c r="X51" s="808"/>
      <c r="Y51" s="809">
        <f>'[1]PLANILHA CONTRATO'!E57</f>
        <v>776.65</v>
      </c>
      <c r="Z51" s="810"/>
      <c r="AA51" s="811"/>
      <c r="AB51" s="776">
        <f>'[1]PLANILHA CONTRATO'!G57</f>
        <v>238.08</v>
      </c>
      <c r="AC51" s="777"/>
      <c r="AD51" s="777"/>
      <c r="AE51" s="778"/>
      <c r="AF51" s="779">
        <f t="shared" si="1"/>
        <v>184904.83</v>
      </c>
      <c r="AG51" s="780"/>
      <c r="AH51" s="780"/>
      <c r="AI51" s="780"/>
      <c r="AJ51" s="780"/>
      <c r="AK51" s="812">
        <f>'[1]BM Nº03 + BM Nº01_CAIXA'!AU51</f>
        <v>0.5393229</v>
      </c>
      <c r="AL51" s="813"/>
      <c r="AM51" s="813"/>
      <c r="AN51" s="813"/>
      <c r="AO51" s="814"/>
      <c r="AP51" s="815">
        <f>AP48</f>
        <v>0.46067709999999995</v>
      </c>
      <c r="AQ51" s="815"/>
      <c r="AR51" s="815"/>
      <c r="AS51" s="815"/>
      <c r="AT51" s="815"/>
      <c r="AU51" s="816">
        <f t="shared" si="2"/>
        <v>1</v>
      </c>
      <c r="AV51" s="816"/>
      <c r="AW51" s="816"/>
      <c r="AX51" s="816"/>
      <c r="AY51" s="816"/>
      <c r="AZ51" s="786">
        <f t="shared" si="3"/>
        <v>99723.409139607</v>
      </c>
      <c r="BA51" s="786"/>
      <c r="BB51" s="786"/>
      <c r="BC51" s="786"/>
      <c r="BD51" s="786"/>
      <c r="BE51" s="786">
        <f t="shared" si="4"/>
        <v>85181.42086039299</v>
      </c>
      <c r="BF51" s="786"/>
      <c r="BG51" s="786"/>
      <c r="BH51" s="786"/>
      <c r="BI51" s="786"/>
      <c r="BJ51" s="786">
        <f t="shared" si="5"/>
        <v>184904.83</v>
      </c>
      <c r="BK51" s="786"/>
      <c r="BL51" s="786"/>
      <c r="BM51" s="786"/>
      <c r="BN51" s="786"/>
      <c r="BO51" s="459"/>
      <c r="BR51" s="509">
        <f t="shared" si="0"/>
        <v>776.65</v>
      </c>
      <c r="BS51" s="509"/>
      <c r="BT51" s="509">
        <f>Y51*AP51</f>
        <v>357.78486971499996</v>
      </c>
      <c r="BU51" s="509"/>
      <c r="BV51" s="462"/>
      <c r="BW51" s="461">
        <f t="shared" si="6"/>
        <v>85181.42086039299</v>
      </c>
      <c r="BX51" s="463">
        <f t="shared" si="7"/>
        <v>184904.83</v>
      </c>
    </row>
    <row r="52" spans="1:76" s="460" customFormat="1" ht="12">
      <c r="A52" s="459"/>
      <c r="B52" s="805"/>
      <c r="C52" s="805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7"/>
      <c r="X52" s="808"/>
      <c r="Y52" s="809"/>
      <c r="Z52" s="810"/>
      <c r="AA52" s="811"/>
      <c r="AB52" s="776"/>
      <c r="AC52" s="777"/>
      <c r="AD52" s="777"/>
      <c r="AE52" s="778"/>
      <c r="AF52" s="779"/>
      <c r="AG52" s="780"/>
      <c r="AH52" s="780"/>
      <c r="AI52" s="780"/>
      <c r="AJ52" s="780"/>
      <c r="AK52" s="812"/>
      <c r="AL52" s="813"/>
      <c r="AM52" s="813"/>
      <c r="AN52" s="813"/>
      <c r="AO52" s="814"/>
      <c r="AP52" s="815"/>
      <c r="AQ52" s="815"/>
      <c r="AR52" s="815"/>
      <c r="AS52" s="815"/>
      <c r="AT52" s="815"/>
      <c r="AU52" s="816"/>
      <c r="AV52" s="816"/>
      <c r="AW52" s="816"/>
      <c r="AX52" s="816"/>
      <c r="AY52" s="816"/>
      <c r="AZ52" s="786"/>
      <c r="BA52" s="786"/>
      <c r="BB52" s="786"/>
      <c r="BC52" s="786"/>
      <c r="BD52" s="786"/>
      <c r="BE52" s="786"/>
      <c r="BF52" s="786"/>
      <c r="BG52" s="786"/>
      <c r="BH52" s="786"/>
      <c r="BI52" s="786"/>
      <c r="BJ52" s="786"/>
      <c r="BK52" s="786"/>
      <c r="BL52" s="786"/>
      <c r="BM52" s="786"/>
      <c r="BN52" s="786"/>
      <c r="BO52" s="459"/>
      <c r="BR52" s="509">
        <f t="shared" si="0"/>
        <v>0</v>
      </c>
      <c r="BS52" s="509"/>
      <c r="BT52" s="509"/>
      <c r="BU52" s="509"/>
      <c r="BW52" s="461"/>
      <c r="BX52" s="397"/>
    </row>
    <row r="53" spans="1:76" s="457" customFormat="1" ht="12" customHeight="1">
      <c r="A53" s="456"/>
      <c r="B53" s="787">
        <f>'[1]PLANILHA CONTRATO'!A59</f>
        <v>4</v>
      </c>
      <c r="C53" s="787"/>
      <c r="D53" s="788" t="str">
        <f>'[1]PLANILHA CONTRATO'!C59</f>
        <v>URBANIZAÇÃO E OBRAS COMPLEMENTARES</v>
      </c>
      <c r="E53" s="788"/>
      <c r="F53" s="788"/>
      <c r="G53" s="788"/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817"/>
      <c r="X53" s="790"/>
      <c r="Y53" s="791"/>
      <c r="Z53" s="792"/>
      <c r="AA53" s="793"/>
      <c r="AB53" s="794"/>
      <c r="AC53" s="795"/>
      <c r="AD53" s="795"/>
      <c r="AE53" s="796"/>
      <c r="AF53" s="797"/>
      <c r="AG53" s="798"/>
      <c r="AH53" s="798"/>
      <c r="AI53" s="798"/>
      <c r="AJ53" s="798"/>
      <c r="AK53" s="812"/>
      <c r="AL53" s="813"/>
      <c r="AM53" s="813"/>
      <c r="AN53" s="813"/>
      <c r="AO53" s="814"/>
      <c r="AP53" s="815"/>
      <c r="AQ53" s="815"/>
      <c r="AR53" s="815"/>
      <c r="AS53" s="815"/>
      <c r="AT53" s="815"/>
      <c r="AU53" s="803"/>
      <c r="AV53" s="803"/>
      <c r="AW53" s="803"/>
      <c r="AX53" s="803"/>
      <c r="AY53" s="803"/>
      <c r="AZ53" s="804"/>
      <c r="BA53" s="804"/>
      <c r="BB53" s="804"/>
      <c r="BC53" s="804"/>
      <c r="BD53" s="804"/>
      <c r="BE53" s="804"/>
      <c r="BF53" s="804"/>
      <c r="BG53" s="804"/>
      <c r="BH53" s="804"/>
      <c r="BI53" s="804"/>
      <c r="BJ53" s="804"/>
      <c r="BK53" s="804"/>
      <c r="BL53" s="804"/>
      <c r="BM53" s="804"/>
      <c r="BN53" s="804"/>
      <c r="BO53" s="456"/>
      <c r="BR53" s="509">
        <f t="shared" si="0"/>
        <v>0</v>
      </c>
      <c r="BS53" s="509"/>
      <c r="BT53" s="509"/>
      <c r="BU53" s="509"/>
      <c r="BW53" s="462">
        <f>SUM(BE54:BI56)</f>
        <v>23330.221899999997</v>
      </c>
      <c r="BX53" s="458">
        <f>SUM(BJ54:BN56)</f>
        <v>23330.22</v>
      </c>
    </row>
    <row r="54" spans="2:76" s="460" customFormat="1" ht="23.25" customHeight="1">
      <c r="B54" s="818" t="str">
        <f>'[1]PLANILHA CONTRATO'!A60</f>
        <v>4.1</v>
      </c>
      <c r="C54" s="818"/>
      <c r="D54" s="819" t="str">
        <f>'[1]PLANILHA CONTRATO'!C60</f>
        <v>ATERRO APILOADO(MANUAL) EM CAMADAS DE 20 CM COM MATERIAL DE EMPRÉSTIMO</v>
      </c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20" t="str">
        <f>'[1]PLANILHA CONTRATO'!D60</f>
        <v>M3</v>
      </c>
      <c r="X54" s="821"/>
      <c r="Y54" s="822">
        <f>'[1]PLANILHA CONTRATO'!E60</f>
        <v>101.51</v>
      </c>
      <c r="Z54" s="823"/>
      <c r="AA54" s="824"/>
      <c r="AB54" s="825">
        <f>'[1]PLANILHA CONTRATO'!G60</f>
        <v>107.2</v>
      </c>
      <c r="AC54" s="826"/>
      <c r="AD54" s="826"/>
      <c r="AE54" s="827"/>
      <c r="AF54" s="828">
        <f t="shared" si="1"/>
        <v>10881.87</v>
      </c>
      <c r="AG54" s="829"/>
      <c r="AH54" s="829"/>
      <c r="AI54" s="829"/>
      <c r="AJ54" s="829"/>
      <c r="AK54" s="830">
        <v>0</v>
      </c>
      <c r="AL54" s="831"/>
      <c r="AM54" s="831"/>
      <c r="AN54" s="831"/>
      <c r="AO54" s="832"/>
      <c r="AP54" s="833">
        <v>0.47</v>
      </c>
      <c r="AQ54" s="833"/>
      <c r="AR54" s="833"/>
      <c r="AS54" s="833"/>
      <c r="AT54" s="833"/>
      <c r="AU54" s="834">
        <f t="shared" si="2"/>
        <v>0.47</v>
      </c>
      <c r="AV54" s="834"/>
      <c r="AW54" s="834"/>
      <c r="AX54" s="834"/>
      <c r="AY54" s="834"/>
      <c r="AZ54" s="835">
        <f t="shared" si="3"/>
        <v>0</v>
      </c>
      <c r="BA54" s="835"/>
      <c r="BB54" s="835"/>
      <c r="BC54" s="835"/>
      <c r="BD54" s="835"/>
      <c r="BE54" s="835">
        <f t="shared" si="4"/>
        <v>5114.4789</v>
      </c>
      <c r="BF54" s="835"/>
      <c r="BG54" s="835"/>
      <c r="BH54" s="835"/>
      <c r="BI54" s="835"/>
      <c r="BJ54" s="835">
        <f t="shared" si="5"/>
        <v>5114.48</v>
      </c>
      <c r="BK54" s="835"/>
      <c r="BL54" s="835"/>
      <c r="BM54" s="835"/>
      <c r="BN54" s="835"/>
      <c r="BR54" s="509">
        <f t="shared" si="0"/>
        <v>47.7097</v>
      </c>
      <c r="BS54" s="509">
        <v>47.71</v>
      </c>
      <c r="BT54" s="509">
        <f>BS54*100/Y54</f>
        <v>47.000295537385476</v>
      </c>
      <c r="BU54" s="509"/>
      <c r="BW54" s="461"/>
      <c r="BX54" s="397"/>
    </row>
    <row r="55" spans="2:76" s="460" customFormat="1" ht="35.25" customHeight="1">
      <c r="B55" s="818" t="str">
        <f>'[1]PLANILHA CONTRATO'!A61</f>
        <v>4.2</v>
      </c>
      <c r="C55" s="818"/>
      <c r="D55" s="819" t="str">
        <f>'[1]PLANILHA CONTRATO'!C61</f>
        <v>PASSEIO EM CONCRETO DESEMPENADO, TRACO 1:2,5:3,5, ESPESSURA 5CM, INCLUSIVE RAMPA PARA PORTADORES DE NECESSIDADES ESPECIAIS</v>
      </c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20" t="str">
        <f>'[1]PLANILHA CONTRATO'!D61</f>
        <v>M2</v>
      </c>
      <c r="X55" s="821"/>
      <c r="Y55" s="822">
        <f>'[1]PLANILHA CONTRATO'!E61</f>
        <v>676.74</v>
      </c>
      <c r="Z55" s="823"/>
      <c r="AA55" s="824"/>
      <c r="AB55" s="825">
        <f>'[1]PLANILHA CONTRATO'!G61</f>
        <v>57.27</v>
      </c>
      <c r="AC55" s="826"/>
      <c r="AD55" s="826"/>
      <c r="AE55" s="827"/>
      <c r="AF55" s="828">
        <f t="shared" si="1"/>
        <v>38756.9</v>
      </c>
      <c r="AG55" s="829"/>
      <c r="AH55" s="829"/>
      <c r="AI55" s="829"/>
      <c r="AJ55" s="829"/>
      <c r="AK55" s="830">
        <f>AK54</f>
        <v>0</v>
      </c>
      <c r="AL55" s="831"/>
      <c r="AM55" s="831"/>
      <c r="AN55" s="831"/>
      <c r="AO55" s="832"/>
      <c r="AP55" s="833">
        <v>0.47</v>
      </c>
      <c r="AQ55" s="833"/>
      <c r="AR55" s="833"/>
      <c r="AS55" s="833"/>
      <c r="AT55" s="833"/>
      <c r="AU55" s="834">
        <f t="shared" si="2"/>
        <v>0.47</v>
      </c>
      <c r="AV55" s="834"/>
      <c r="AW55" s="834"/>
      <c r="AX55" s="834"/>
      <c r="AY55" s="834"/>
      <c r="AZ55" s="835">
        <f t="shared" si="3"/>
        <v>0</v>
      </c>
      <c r="BA55" s="835"/>
      <c r="BB55" s="835"/>
      <c r="BC55" s="835"/>
      <c r="BD55" s="835"/>
      <c r="BE55" s="835">
        <f t="shared" si="4"/>
        <v>18215.743</v>
      </c>
      <c r="BF55" s="835"/>
      <c r="BG55" s="835"/>
      <c r="BH55" s="835"/>
      <c r="BI55" s="835"/>
      <c r="BJ55" s="835">
        <f t="shared" si="5"/>
        <v>18215.74</v>
      </c>
      <c r="BK55" s="835"/>
      <c r="BL55" s="835"/>
      <c r="BM55" s="835"/>
      <c r="BN55" s="835"/>
      <c r="BR55" s="509">
        <f t="shared" si="0"/>
        <v>318.0678</v>
      </c>
      <c r="BS55" s="509">
        <v>318.07</v>
      </c>
      <c r="BT55" s="509">
        <f>BS55*100/Y55</f>
        <v>47.0003250879215</v>
      </c>
      <c r="BU55" s="509"/>
      <c r="BW55" s="461"/>
      <c r="BX55" s="397"/>
    </row>
    <row r="56" spans="1:76" s="460" customFormat="1" ht="36.75" customHeight="1">
      <c r="A56" s="459"/>
      <c r="B56" s="805" t="str">
        <f>'[1]PLANILHA CONTRATO'!A62</f>
        <v>4.3</v>
      </c>
      <c r="C56" s="805"/>
      <c r="D56" s="806" t="str">
        <f>'[1]PLANILHA CONTRATO'!C62</f>
        <v>Piso de alerta em placas marmorizadas vibro-prensadas, Tecnogran ou similar, com acabamento rustico, na cor cinza, inclusive contrapiso com espessura de 3cm. Fornecimento e colocacao.</v>
      </c>
      <c r="E56" s="806"/>
      <c r="F56" s="806"/>
      <c r="G56" s="806"/>
      <c r="H56" s="806"/>
      <c r="I56" s="806"/>
      <c r="J56" s="806"/>
      <c r="K56" s="806"/>
      <c r="L56" s="806"/>
      <c r="M56" s="806"/>
      <c r="N56" s="806"/>
      <c r="O56" s="806"/>
      <c r="P56" s="806"/>
      <c r="Q56" s="806"/>
      <c r="R56" s="806"/>
      <c r="S56" s="806"/>
      <c r="T56" s="806"/>
      <c r="U56" s="806"/>
      <c r="V56" s="806"/>
      <c r="W56" s="807" t="str">
        <f>'[1]PLANILHA CONTRATO'!D62</f>
        <v>M2</v>
      </c>
      <c r="X56" s="808"/>
      <c r="Y56" s="809">
        <f>'[1]PLANILHA CONTRATO'!E62</f>
        <v>11.71</v>
      </c>
      <c r="Z56" s="810"/>
      <c r="AA56" s="811"/>
      <c r="AB56" s="776">
        <f>'[1]PLANILHA CONTRATO'!G62</f>
        <v>152.55</v>
      </c>
      <c r="AC56" s="777"/>
      <c r="AD56" s="777"/>
      <c r="AE56" s="778"/>
      <c r="AF56" s="779">
        <f t="shared" si="1"/>
        <v>1786.36</v>
      </c>
      <c r="AG56" s="780"/>
      <c r="AH56" s="780"/>
      <c r="AI56" s="780"/>
      <c r="AJ56" s="780"/>
      <c r="AK56" s="812">
        <f>'[1]BM Nº03 + BM Nº01_CAIXA'!AU56</f>
        <v>0</v>
      </c>
      <c r="AL56" s="813"/>
      <c r="AM56" s="813"/>
      <c r="AN56" s="813"/>
      <c r="AO56" s="814"/>
      <c r="AP56" s="815">
        <f>'[1]BM Nº02'!AU56</f>
        <v>0</v>
      </c>
      <c r="AQ56" s="815"/>
      <c r="AR56" s="815"/>
      <c r="AS56" s="815"/>
      <c r="AT56" s="815"/>
      <c r="AU56" s="816">
        <f t="shared" si="2"/>
        <v>0</v>
      </c>
      <c r="AV56" s="816"/>
      <c r="AW56" s="816"/>
      <c r="AX56" s="816"/>
      <c r="AY56" s="816"/>
      <c r="AZ56" s="786">
        <f t="shared" si="3"/>
        <v>0</v>
      </c>
      <c r="BA56" s="786"/>
      <c r="BB56" s="786"/>
      <c r="BC56" s="786"/>
      <c r="BD56" s="786"/>
      <c r="BE56" s="786">
        <f t="shared" si="4"/>
        <v>0</v>
      </c>
      <c r="BF56" s="786"/>
      <c r="BG56" s="786"/>
      <c r="BH56" s="786"/>
      <c r="BI56" s="786"/>
      <c r="BJ56" s="786">
        <f t="shared" si="5"/>
        <v>0</v>
      </c>
      <c r="BK56" s="786"/>
      <c r="BL56" s="786"/>
      <c r="BM56" s="786"/>
      <c r="BN56" s="786"/>
      <c r="BO56" s="459"/>
      <c r="BR56" s="509">
        <f t="shared" si="0"/>
        <v>0</v>
      </c>
      <c r="BS56" s="509"/>
      <c r="BT56" s="509"/>
      <c r="BU56" s="509"/>
      <c r="BW56" s="461"/>
      <c r="BX56" s="397"/>
    </row>
    <row r="57" spans="1:76" s="460" customFormat="1" ht="12">
      <c r="A57" s="459"/>
      <c r="B57" s="805"/>
      <c r="C57" s="805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7"/>
      <c r="X57" s="808"/>
      <c r="Y57" s="809"/>
      <c r="Z57" s="810"/>
      <c r="AA57" s="811"/>
      <c r="AB57" s="776"/>
      <c r="AC57" s="777"/>
      <c r="AD57" s="777"/>
      <c r="AE57" s="778"/>
      <c r="AF57" s="779"/>
      <c r="AG57" s="780"/>
      <c r="AH57" s="780"/>
      <c r="AI57" s="780"/>
      <c r="AJ57" s="780"/>
      <c r="AK57" s="812"/>
      <c r="AL57" s="813"/>
      <c r="AM57" s="813"/>
      <c r="AN57" s="813"/>
      <c r="AO57" s="814"/>
      <c r="AP57" s="815"/>
      <c r="AQ57" s="815"/>
      <c r="AR57" s="815"/>
      <c r="AS57" s="815"/>
      <c r="AT57" s="815"/>
      <c r="AU57" s="816"/>
      <c r="AV57" s="816"/>
      <c r="AW57" s="816"/>
      <c r="AX57" s="816"/>
      <c r="AY57" s="816"/>
      <c r="AZ57" s="786">
        <f t="shared" si="3"/>
        <v>0</v>
      </c>
      <c r="BA57" s="786"/>
      <c r="BB57" s="786"/>
      <c r="BC57" s="786"/>
      <c r="BD57" s="786"/>
      <c r="BE57" s="786">
        <f t="shared" si="4"/>
        <v>0</v>
      </c>
      <c r="BF57" s="786"/>
      <c r="BG57" s="786"/>
      <c r="BH57" s="786"/>
      <c r="BI57" s="786"/>
      <c r="BJ57" s="786">
        <f t="shared" si="5"/>
        <v>0</v>
      </c>
      <c r="BK57" s="786"/>
      <c r="BL57" s="786"/>
      <c r="BM57" s="786"/>
      <c r="BN57" s="786"/>
      <c r="BO57" s="459"/>
      <c r="BR57" s="509">
        <f t="shared" si="0"/>
        <v>0</v>
      </c>
      <c r="BS57" s="509"/>
      <c r="BT57" s="509"/>
      <c r="BU57" s="509"/>
      <c r="BW57" s="461"/>
      <c r="BX57" s="397"/>
    </row>
    <row r="58" spans="1:76" s="457" customFormat="1" ht="12">
      <c r="A58" s="456"/>
      <c r="B58" s="787">
        <f>'[1]PLANILHA CONTRATO'!A64</f>
        <v>5</v>
      </c>
      <c r="C58" s="787"/>
      <c r="D58" s="788" t="str">
        <f>'[1]PLANILHA CONTRATO'!C64</f>
        <v>SINALIZAÇÃO URBANA</v>
      </c>
      <c r="E58" s="788"/>
      <c r="F58" s="788"/>
      <c r="G58" s="788"/>
      <c r="H58" s="788"/>
      <c r="I58" s="788"/>
      <c r="J58" s="788"/>
      <c r="K58" s="788"/>
      <c r="L58" s="788"/>
      <c r="M58" s="788"/>
      <c r="N58" s="788"/>
      <c r="O58" s="788"/>
      <c r="P58" s="788"/>
      <c r="Q58" s="788"/>
      <c r="R58" s="788"/>
      <c r="S58" s="788"/>
      <c r="T58" s="788"/>
      <c r="U58" s="788"/>
      <c r="V58" s="788"/>
      <c r="W58" s="817"/>
      <c r="X58" s="790"/>
      <c r="Y58" s="791"/>
      <c r="Z58" s="792"/>
      <c r="AA58" s="793"/>
      <c r="AB58" s="794"/>
      <c r="AC58" s="795"/>
      <c r="AD58" s="795"/>
      <c r="AE58" s="796"/>
      <c r="AF58" s="797"/>
      <c r="AG58" s="798"/>
      <c r="AH58" s="798"/>
      <c r="AI58" s="798"/>
      <c r="AJ58" s="798"/>
      <c r="AK58" s="812"/>
      <c r="AL58" s="813"/>
      <c r="AM58" s="813"/>
      <c r="AN58" s="813"/>
      <c r="AO58" s="814"/>
      <c r="AP58" s="815"/>
      <c r="AQ58" s="815"/>
      <c r="AR58" s="815"/>
      <c r="AS58" s="815"/>
      <c r="AT58" s="815"/>
      <c r="AU58" s="803"/>
      <c r="AV58" s="803"/>
      <c r="AW58" s="803"/>
      <c r="AX58" s="803"/>
      <c r="AY58" s="803"/>
      <c r="AZ58" s="804">
        <f t="shared" si="3"/>
        <v>0</v>
      </c>
      <c r="BA58" s="804"/>
      <c r="BB58" s="804"/>
      <c r="BC58" s="804"/>
      <c r="BD58" s="804"/>
      <c r="BE58" s="804">
        <f t="shared" si="4"/>
        <v>0</v>
      </c>
      <c r="BF58" s="804"/>
      <c r="BG58" s="804"/>
      <c r="BH58" s="804"/>
      <c r="BI58" s="804"/>
      <c r="BJ58" s="804">
        <f t="shared" si="5"/>
        <v>0</v>
      </c>
      <c r="BK58" s="804"/>
      <c r="BL58" s="804"/>
      <c r="BM58" s="804"/>
      <c r="BN58" s="804"/>
      <c r="BO58" s="456"/>
      <c r="BR58" s="509">
        <f t="shared" si="0"/>
        <v>0</v>
      </c>
      <c r="BS58" s="509"/>
      <c r="BT58" s="509"/>
      <c r="BU58" s="509"/>
      <c r="BW58" s="462">
        <f>SUM(BE59:BI64)</f>
        <v>0</v>
      </c>
      <c r="BX58" s="458">
        <f>SUM(BJ59:BN64)</f>
        <v>0</v>
      </c>
    </row>
    <row r="59" spans="1:76" s="460" customFormat="1" ht="23.25" customHeight="1">
      <c r="A59" s="459"/>
      <c r="B59" s="805" t="str">
        <f>'[1]PLANILHA CONTRATO'!A65</f>
        <v>5.1</v>
      </c>
      <c r="C59" s="805"/>
      <c r="D59" s="806" t="str">
        <f>'[1]PLANILHA CONTRATO'!C65</f>
        <v>PINTURA DE SINALIZAÇÃO DE FAIXA DE PEDESTRES COM TERMOPLÁLTICO - 3 ANOS (P/ASPERSÃO)</v>
      </c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7" t="str">
        <f>'[1]PLANILHA CONTRATO'!D65</f>
        <v>M2</v>
      </c>
      <c r="X59" s="808"/>
      <c r="Y59" s="809">
        <f>'[1]PLANILHA CONTRATO'!E65</f>
        <v>105.6</v>
      </c>
      <c r="Z59" s="810"/>
      <c r="AA59" s="811"/>
      <c r="AB59" s="776">
        <f>'[1]PLANILHA CONTRATO'!G65</f>
        <v>32.08</v>
      </c>
      <c r="AC59" s="777"/>
      <c r="AD59" s="777"/>
      <c r="AE59" s="778"/>
      <c r="AF59" s="779">
        <f t="shared" si="1"/>
        <v>3387.65</v>
      </c>
      <c r="AG59" s="780"/>
      <c r="AH59" s="780"/>
      <c r="AI59" s="780"/>
      <c r="AJ59" s="780"/>
      <c r="AK59" s="812">
        <f>'[1]BM Nº03 + BM Nº01_CAIXA'!AU59</f>
        <v>0</v>
      </c>
      <c r="AL59" s="813"/>
      <c r="AM59" s="813"/>
      <c r="AN59" s="813"/>
      <c r="AO59" s="814"/>
      <c r="AP59" s="815">
        <f>'[1]BM Nº02'!AU59</f>
        <v>0</v>
      </c>
      <c r="AQ59" s="815"/>
      <c r="AR59" s="815"/>
      <c r="AS59" s="815"/>
      <c r="AT59" s="815"/>
      <c r="AU59" s="816">
        <f t="shared" si="2"/>
        <v>0</v>
      </c>
      <c r="AV59" s="816"/>
      <c r="AW59" s="816"/>
      <c r="AX59" s="816"/>
      <c r="AY59" s="816"/>
      <c r="AZ59" s="786">
        <f t="shared" si="3"/>
        <v>0</v>
      </c>
      <c r="BA59" s="786"/>
      <c r="BB59" s="786"/>
      <c r="BC59" s="786"/>
      <c r="BD59" s="786"/>
      <c r="BE59" s="786">
        <f t="shared" si="4"/>
        <v>0</v>
      </c>
      <c r="BF59" s="786"/>
      <c r="BG59" s="786"/>
      <c r="BH59" s="786"/>
      <c r="BI59" s="786"/>
      <c r="BJ59" s="786">
        <f t="shared" si="5"/>
        <v>0</v>
      </c>
      <c r="BK59" s="786"/>
      <c r="BL59" s="786"/>
      <c r="BM59" s="786"/>
      <c r="BN59" s="786"/>
      <c r="BO59" s="459"/>
      <c r="BR59" s="509">
        <f t="shared" si="0"/>
        <v>0</v>
      </c>
      <c r="BS59" s="509"/>
      <c r="BT59" s="509"/>
      <c r="BU59" s="509"/>
      <c r="BW59" s="461"/>
      <c r="BX59" s="397"/>
    </row>
    <row r="60" spans="1:76" s="460" customFormat="1" ht="24.75" customHeight="1">
      <c r="A60" s="459"/>
      <c r="B60" s="805" t="str">
        <f>'[1]PLANILHA CONTRATO'!A66</f>
        <v>5.2</v>
      </c>
      <c r="C60" s="805"/>
      <c r="D60" s="806" t="str">
        <f>'[1]PLANILHA CONTRATO'!C66</f>
        <v>PINTURA DE SINALIZAÇÃO DE FAIXA DE RETENÇÃO COM TERMOPLÁLTICO - 3 ANOS (P/ASPERSÃO)</v>
      </c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7" t="str">
        <f>'[1]PLANILHA CONTRATO'!D66</f>
        <v>M2</v>
      </c>
      <c r="X60" s="808"/>
      <c r="Y60" s="809">
        <f>'[1]PLANILHA CONTRATO'!E66</f>
        <v>6.84</v>
      </c>
      <c r="Z60" s="810"/>
      <c r="AA60" s="811"/>
      <c r="AB60" s="776">
        <f>'[1]PLANILHA CONTRATO'!G66</f>
        <v>32.08</v>
      </c>
      <c r="AC60" s="777"/>
      <c r="AD60" s="777"/>
      <c r="AE60" s="778"/>
      <c r="AF60" s="779">
        <f t="shared" si="1"/>
        <v>219.43</v>
      </c>
      <c r="AG60" s="780"/>
      <c r="AH60" s="780"/>
      <c r="AI60" s="780"/>
      <c r="AJ60" s="780"/>
      <c r="AK60" s="812">
        <f>'[1]BM Nº03 + BM Nº01_CAIXA'!AU60</f>
        <v>0</v>
      </c>
      <c r="AL60" s="813"/>
      <c r="AM60" s="813"/>
      <c r="AN60" s="813"/>
      <c r="AO60" s="814"/>
      <c r="AP60" s="815">
        <f>'[1]BM Nº02'!AU60</f>
        <v>0</v>
      </c>
      <c r="AQ60" s="815"/>
      <c r="AR60" s="815"/>
      <c r="AS60" s="815"/>
      <c r="AT60" s="815"/>
      <c r="AU60" s="816">
        <f t="shared" si="2"/>
        <v>0</v>
      </c>
      <c r="AV60" s="816"/>
      <c r="AW60" s="816"/>
      <c r="AX60" s="816"/>
      <c r="AY60" s="816"/>
      <c r="AZ60" s="786">
        <f t="shared" si="3"/>
        <v>0</v>
      </c>
      <c r="BA60" s="786"/>
      <c r="BB60" s="786"/>
      <c r="BC60" s="786"/>
      <c r="BD60" s="786"/>
      <c r="BE60" s="786">
        <f t="shared" si="4"/>
        <v>0</v>
      </c>
      <c r="BF60" s="786"/>
      <c r="BG60" s="786"/>
      <c r="BH60" s="786"/>
      <c r="BI60" s="786"/>
      <c r="BJ60" s="786">
        <f t="shared" si="5"/>
        <v>0</v>
      </c>
      <c r="BK60" s="786"/>
      <c r="BL60" s="786"/>
      <c r="BM60" s="786"/>
      <c r="BN60" s="786"/>
      <c r="BO60" s="459"/>
      <c r="BR60" s="509">
        <f t="shared" si="0"/>
        <v>0</v>
      </c>
      <c r="BS60" s="509"/>
      <c r="BT60" s="509"/>
      <c r="BU60" s="509"/>
      <c r="BW60" s="461"/>
      <c r="BX60" s="397"/>
    </row>
    <row r="61" spans="1:76" s="460" customFormat="1" ht="21.75" customHeight="1">
      <c r="A61" s="459"/>
      <c r="B61" s="805" t="str">
        <f>'[1]PLANILHA CONTRATO'!A67</f>
        <v>5.3</v>
      </c>
      <c r="C61" s="805"/>
      <c r="D61" s="806" t="str">
        <f>'[1]PLANILHA CONTRATO'!C67</f>
        <v>FORNECIMENTO E INSTALAÇÃO DE PLACA DE  SINALIZAÇÃO SEMI-REFLETIVA</v>
      </c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7" t="str">
        <f>'[1]PLANILHA CONTRATO'!D67</f>
        <v>M2</v>
      </c>
      <c r="X61" s="808"/>
      <c r="Y61" s="809">
        <f>'[1]PLANILHA CONTRATO'!E67</f>
        <v>6.48</v>
      </c>
      <c r="Z61" s="810"/>
      <c r="AA61" s="811"/>
      <c r="AB61" s="776">
        <f>'[1]PLANILHA CONTRATO'!G67</f>
        <v>272.73</v>
      </c>
      <c r="AC61" s="777"/>
      <c r="AD61" s="777"/>
      <c r="AE61" s="778"/>
      <c r="AF61" s="779">
        <f t="shared" si="1"/>
        <v>1767.29</v>
      </c>
      <c r="AG61" s="780"/>
      <c r="AH61" s="780"/>
      <c r="AI61" s="780"/>
      <c r="AJ61" s="780"/>
      <c r="AK61" s="812">
        <f>'[1]BM Nº03 + BM Nº01_CAIXA'!AU61</f>
        <v>0</v>
      </c>
      <c r="AL61" s="813"/>
      <c r="AM61" s="813"/>
      <c r="AN61" s="813"/>
      <c r="AO61" s="814"/>
      <c r="AP61" s="815">
        <f>'[1]BM Nº02'!AU61</f>
        <v>0</v>
      </c>
      <c r="AQ61" s="815"/>
      <c r="AR61" s="815"/>
      <c r="AS61" s="815"/>
      <c r="AT61" s="815"/>
      <c r="AU61" s="816">
        <f t="shared" si="2"/>
        <v>0</v>
      </c>
      <c r="AV61" s="816"/>
      <c r="AW61" s="816"/>
      <c r="AX61" s="816"/>
      <c r="AY61" s="816"/>
      <c r="AZ61" s="786">
        <f t="shared" si="3"/>
        <v>0</v>
      </c>
      <c r="BA61" s="786"/>
      <c r="BB61" s="786"/>
      <c r="BC61" s="786"/>
      <c r="BD61" s="786"/>
      <c r="BE61" s="786">
        <f t="shared" si="4"/>
        <v>0</v>
      </c>
      <c r="BF61" s="786"/>
      <c r="BG61" s="786"/>
      <c r="BH61" s="786"/>
      <c r="BI61" s="786"/>
      <c r="BJ61" s="786">
        <f t="shared" si="5"/>
        <v>0</v>
      </c>
      <c r="BK61" s="786"/>
      <c r="BL61" s="786"/>
      <c r="BM61" s="786"/>
      <c r="BN61" s="786"/>
      <c r="BO61" s="459"/>
      <c r="BR61" s="509">
        <f t="shared" si="0"/>
        <v>0</v>
      </c>
      <c r="BS61" s="509"/>
      <c r="BT61" s="509"/>
      <c r="BU61" s="509"/>
      <c r="BW61" s="461"/>
      <c r="BX61" s="397"/>
    </row>
    <row r="62" spans="1:76" s="460" customFormat="1" ht="23.25" customHeight="1">
      <c r="A62" s="459"/>
      <c r="B62" s="805" t="str">
        <f>'[1]PLANILHA CONTRATO'!A68</f>
        <v>5.4</v>
      </c>
      <c r="C62" s="805"/>
      <c r="D62" s="806" t="str">
        <f>'[1]PLANILHA CONTRATO'!C68</f>
        <v>CONFECÇÃO E IMPLANTAÇÃO DE SUPORTE E TRAVESSA PARA PLACA DE SINALIZAÇÃO</v>
      </c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7" t="str">
        <f>'[1]PLANILHA CONTRATO'!D68</f>
        <v>UNID.</v>
      </c>
      <c r="X62" s="808"/>
      <c r="Y62" s="809">
        <f>'[1]PLANILHA CONTRATO'!E68</f>
        <v>21</v>
      </c>
      <c r="Z62" s="810"/>
      <c r="AA62" s="811"/>
      <c r="AB62" s="776">
        <f>'[1]PLANILHA CONTRATO'!G68</f>
        <v>77.95</v>
      </c>
      <c r="AC62" s="777"/>
      <c r="AD62" s="777"/>
      <c r="AE62" s="778"/>
      <c r="AF62" s="779">
        <f t="shared" si="1"/>
        <v>1636.95</v>
      </c>
      <c r="AG62" s="780"/>
      <c r="AH62" s="780"/>
      <c r="AI62" s="780"/>
      <c r="AJ62" s="780"/>
      <c r="AK62" s="812">
        <f>'[1]BM Nº03 + BM Nº01_CAIXA'!AU62</f>
        <v>0</v>
      </c>
      <c r="AL62" s="813"/>
      <c r="AM62" s="813"/>
      <c r="AN62" s="813"/>
      <c r="AO62" s="814"/>
      <c r="AP62" s="815">
        <f>'[1]BM Nº02'!AU62</f>
        <v>0</v>
      </c>
      <c r="AQ62" s="815"/>
      <c r="AR62" s="815"/>
      <c r="AS62" s="815"/>
      <c r="AT62" s="815"/>
      <c r="AU62" s="816">
        <f t="shared" si="2"/>
        <v>0</v>
      </c>
      <c r="AV62" s="816"/>
      <c r="AW62" s="816"/>
      <c r="AX62" s="816"/>
      <c r="AY62" s="816"/>
      <c r="AZ62" s="786">
        <f t="shared" si="3"/>
        <v>0</v>
      </c>
      <c r="BA62" s="786"/>
      <c r="BB62" s="786"/>
      <c r="BC62" s="786"/>
      <c r="BD62" s="786"/>
      <c r="BE62" s="786">
        <f t="shared" si="4"/>
        <v>0</v>
      </c>
      <c r="BF62" s="786"/>
      <c r="BG62" s="786"/>
      <c r="BH62" s="786"/>
      <c r="BI62" s="786"/>
      <c r="BJ62" s="786">
        <f t="shared" si="5"/>
        <v>0</v>
      </c>
      <c r="BK62" s="786"/>
      <c r="BL62" s="786"/>
      <c r="BM62" s="786"/>
      <c r="BN62" s="786"/>
      <c r="BO62" s="459"/>
      <c r="BR62" s="509">
        <f t="shared" si="0"/>
        <v>0</v>
      </c>
      <c r="BS62" s="509"/>
      <c r="BT62" s="509"/>
      <c r="BU62" s="509"/>
      <c r="BW62" s="461"/>
      <c r="BX62" s="397"/>
    </row>
    <row r="63" spans="1:76" s="460" customFormat="1" ht="12">
      <c r="A63" s="459"/>
      <c r="B63" s="805" t="str">
        <f>'[1]PLANILHA CONTRATO'!A69</f>
        <v>5.5</v>
      </c>
      <c r="C63" s="805"/>
      <c r="D63" s="806" t="str">
        <f>'[1]PLANILHA CONTRATO'!C69</f>
        <v>PINTURA ACRILICA EM PISO CIMENTADO DUAS DEMAOS</v>
      </c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7" t="str">
        <f>'[1]PLANILHA CONTRATO'!D69</f>
        <v>M2</v>
      </c>
      <c r="X63" s="808"/>
      <c r="Y63" s="809">
        <f>'[1]PLANILHA CONTRATO'!E69</f>
        <v>10.8</v>
      </c>
      <c r="Z63" s="810"/>
      <c r="AA63" s="811"/>
      <c r="AB63" s="776">
        <f>'[1]PLANILHA CONTRATO'!G69</f>
        <v>11.72</v>
      </c>
      <c r="AC63" s="777"/>
      <c r="AD63" s="777"/>
      <c r="AE63" s="778"/>
      <c r="AF63" s="779">
        <f t="shared" si="1"/>
        <v>126.58</v>
      </c>
      <c r="AG63" s="780"/>
      <c r="AH63" s="780"/>
      <c r="AI63" s="780"/>
      <c r="AJ63" s="780"/>
      <c r="AK63" s="812">
        <f>'[1]BM Nº03 + BM Nº01_CAIXA'!AU63</f>
        <v>0</v>
      </c>
      <c r="AL63" s="813"/>
      <c r="AM63" s="813"/>
      <c r="AN63" s="813"/>
      <c r="AO63" s="814"/>
      <c r="AP63" s="815">
        <f>'[1]BM Nº02'!AU63</f>
        <v>0</v>
      </c>
      <c r="AQ63" s="815"/>
      <c r="AR63" s="815"/>
      <c r="AS63" s="815"/>
      <c r="AT63" s="815"/>
      <c r="AU63" s="816">
        <f t="shared" si="2"/>
        <v>0</v>
      </c>
      <c r="AV63" s="816"/>
      <c r="AW63" s="816"/>
      <c r="AX63" s="816"/>
      <c r="AY63" s="816"/>
      <c r="AZ63" s="786">
        <f t="shared" si="3"/>
        <v>0</v>
      </c>
      <c r="BA63" s="786"/>
      <c r="BB63" s="786"/>
      <c r="BC63" s="786"/>
      <c r="BD63" s="786"/>
      <c r="BE63" s="786">
        <f t="shared" si="4"/>
        <v>0</v>
      </c>
      <c r="BF63" s="786"/>
      <c r="BG63" s="786"/>
      <c r="BH63" s="786"/>
      <c r="BI63" s="786"/>
      <c r="BJ63" s="786">
        <f t="shared" si="5"/>
        <v>0</v>
      </c>
      <c r="BK63" s="786"/>
      <c r="BL63" s="786"/>
      <c r="BM63" s="786"/>
      <c r="BN63" s="786"/>
      <c r="BO63" s="459"/>
      <c r="BR63" s="509">
        <f t="shared" si="0"/>
        <v>0</v>
      </c>
      <c r="BS63" s="509"/>
      <c r="BT63" s="509"/>
      <c r="BU63" s="509"/>
      <c r="BW63" s="461"/>
      <c r="BX63" s="397"/>
    </row>
    <row r="64" spans="1:76" s="460" customFormat="1" ht="23.25" customHeight="1">
      <c r="A64" s="459"/>
      <c r="B64" s="805" t="str">
        <f>'[1]PLANILHA CONTRATO'!A70</f>
        <v>5.6</v>
      </c>
      <c r="C64" s="805"/>
      <c r="D64" s="806" t="str">
        <f>'[1]PLANILHA CONTRATO'!C70</f>
        <v>PLACA ESMALTADA PARA IDENTIFICAÇÃO NR DE RUA, DIMENSÕES 45X25CM</v>
      </c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7" t="str">
        <f>'[1]PLANILHA CONTRATO'!D70</f>
        <v>UNID.</v>
      </c>
      <c r="X64" s="808"/>
      <c r="Y64" s="809">
        <f>'[1]PLANILHA CONTRATO'!E70</f>
        <v>3</v>
      </c>
      <c r="Z64" s="810"/>
      <c r="AA64" s="811"/>
      <c r="AB64" s="776">
        <f>'[1]PLANILHA CONTRATO'!G70</f>
        <v>101.07</v>
      </c>
      <c r="AC64" s="777"/>
      <c r="AD64" s="777"/>
      <c r="AE64" s="778"/>
      <c r="AF64" s="779">
        <f t="shared" si="1"/>
        <v>303.21</v>
      </c>
      <c r="AG64" s="780"/>
      <c r="AH64" s="780"/>
      <c r="AI64" s="780"/>
      <c r="AJ64" s="780"/>
      <c r="AK64" s="812">
        <f>'[1]BM Nº03 + BM Nº01_CAIXA'!AU64</f>
        <v>0</v>
      </c>
      <c r="AL64" s="813"/>
      <c r="AM64" s="813"/>
      <c r="AN64" s="813"/>
      <c r="AO64" s="814"/>
      <c r="AP64" s="815">
        <f>'[1]BM Nº02'!AU64</f>
        <v>0</v>
      </c>
      <c r="AQ64" s="815"/>
      <c r="AR64" s="815"/>
      <c r="AS64" s="815"/>
      <c r="AT64" s="815"/>
      <c r="AU64" s="816">
        <f t="shared" si="2"/>
        <v>0</v>
      </c>
      <c r="AV64" s="816"/>
      <c r="AW64" s="816"/>
      <c r="AX64" s="816"/>
      <c r="AY64" s="816"/>
      <c r="AZ64" s="786">
        <f t="shared" si="3"/>
        <v>0</v>
      </c>
      <c r="BA64" s="786"/>
      <c r="BB64" s="786"/>
      <c r="BC64" s="786"/>
      <c r="BD64" s="786"/>
      <c r="BE64" s="786">
        <f t="shared" si="4"/>
        <v>0</v>
      </c>
      <c r="BF64" s="786"/>
      <c r="BG64" s="786"/>
      <c r="BH64" s="786"/>
      <c r="BI64" s="786"/>
      <c r="BJ64" s="786">
        <f t="shared" si="5"/>
        <v>0</v>
      </c>
      <c r="BK64" s="786"/>
      <c r="BL64" s="786"/>
      <c r="BM64" s="786"/>
      <c r="BN64" s="786"/>
      <c r="BO64" s="459"/>
      <c r="BR64" s="509">
        <f t="shared" si="0"/>
        <v>0</v>
      </c>
      <c r="BS64" s="509"/>
      <c r="BT64" s="509"/>
      <c r="BU64" s="509"/>
      <c r="BW64" s="461"/>
      <c r="BX64" s="397"/>
    </row>
    <row r="65" spans="1:76" s="460" customFormat="1" ht="12">
      <c r="A65" s="459"/>
      <c r="B65" s="805"/>
      <c r="C65" s="805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7"/>
      <c r="X65" s="808"/>
      <c r="Y65" s="809"/>
      <c r="Z65" s="810"/>
      <c r="AA65" s="811"/>
      <c r="AB65" s="776"/>
      <c r="AC65" s="777"/>
      <c r="AD65" s="777"/>
      <c r="AE65" s="778"/>
      <c r="AF65" s="779"/>
      <c r="AG65" s="780"/>
      <c r="AH65" s="780"/>
      <c r="AI65" s="780"/>
      <c r="AJ65" s="780"/>
      <c r="AK65" s="812"/>
      <c r="AL65" s="813"/>
      <c r="AM65" s="813"/>
      <c r="AN65" s="813"/>
      <c r="AO65" s="814"/>
      <c r="AP65" s="815"/>
      <c r="AQ65" s="815"/>
      <c r="AR65" s="815"/>
      <c r="AS65" s="815"/>
      <c r="AT65" s="815"/>
      <c r="AU65" s="816"/>
      <c r="AV65" s="816"/>
      <c r="AW65" s="816"/>
      <c r="AX65" s="816"/>
      <c r="AY65" s="816"/>
      <c r="AZ65" s="786"/>
      <c r="BA65" s="786"/>
      <c r="BB65" s="786"/>
      <c r="BC65" s="786"/>
      <c r="BD65" s="786"/>
      <c r="BE65" s="786"/>
      <c r="BF65" s="786"/>
      <c r="BG65" s="786"/>
      <c r="BH65" s="786"/>
      <c r="BI65" s="786"/>
      <c r="BJ65" s="786"/>
      <c r="BK65" s="786"/>
      <c r="BL65" s="786"/>
      <c r="BM65" s="786"/>
      <c r="BN65" s="786"/>
      <c r="BO65" s="459"/>
      <c r="BR65" s="509">
        <f t="shared" si="0"/>
        <v>0</v>
      </c>
      <c r="BS65" s="509"/>
      <c r="BT65" s="509"/>
      <c r="BU65" s="509"/>
      <c r="BW65" s="461"/>
      <c r="BX65" s="397"/>
    </row>
    <row r="66" spans="1:76" s="457" customFormat="1" ht="12">
      <c r="A66" s="456"/>
      <c r="B66" s="787">
        <f>'[1]PLANILHA CONTRATO'!A72</f>
        <v>6</v>
      </c>
      <c r="C66" s="787"/>
      <c r="D66" s="788" t="str">
        <f>'[1]PLANILHA CONTRATO'!C72</f>
        <v>INTENVERÇÃO NOS CANTEIROS CENTRAIS</v>
      </c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  <c r="P66" s="788"/>
      <c r="Q66" s="788"/>
      <c r="R66" s="788"/>
      <c r="S66" s="788"/>
      <c r="T66" s="788"/>
      <c r="U66" s="788"/>
      <c r="V66" s="788"/>
      <c r="W66" s="817"/>
      <c r="X66" s="790"/>
      <c r="Y66" s="791"/>
      <c r="Z66" s="792"/>
      <c r="AA66" s="793"/>
      <c r="AB66" s="794"/>
      <c r="AC66" s="795"/>
      <c r="AD66" s="795"/>
      <c r="AE66" s="796"/>
      <c r="AF66" s="797"/>
      <c r="AG66" s="798"/>
      <c r="AH66" s="798"/>
      <c r="AI66" s="798"/>
      <c r="AJ66" s="798"/>
      <c r="AK66" s="812"/>
      <c r="AL66" s="813"/>
      <c r="AM66" s="813"/>
      <c r="AN66" s="813"/>
      <c r="AO66" s="814"/>
      <c r="AP66" s="815"/>
      <c r="AQ66" s="815"/>
      <c r="AR66" s="815"/>
      <c r="AS66" s="815"/>
      <c r="AT66" s="815"/>
      <c r="AU66" s="803"/>
      <c r="AV66" s="803"/>
      <c r="AW66" s="803"/>
      <c r="AX66" s="803"/>
      <c r="AY66" s="803"/>
      <c r="AZ66" s="804"/>
      <c r="BA66" s="804"/>
      <c r="BB66" s="804"/>
      <c r="BC66" s="804"/>
      <c r="BD66" s="804"/>
      <c r="BE66" s="804"/>
      <c r="BF66" s="804"/>
      <c r="BG66" s="804"/>
      <c r="BH66" s="804"/>
      <c r="BI66" s="804"/>
      <c r="BJ66" s="804"/>
      <c r="BK66" s="804"/>
      <c r="BL66" s="804"/>
      <c r="BM66" s="804"/>
      <c r="BN66" s="804"/>
      <c r="BO66" s="456"/>
      <c r="BR66" s="509">
        <f t="shared" si="0"/>
        <v>0</v>
      </c>
      <c r="BS66" s="509"/>
      <c r="BT66" s="509"/>
      <c r="BU66" s="509"/>
      <c r="BW66" s="462">
        <f>SUM(BE67:BI72)</f>
        <v>0</v>
      </c>
      <c r="BX66" s="458">
        <f>SUM(BJ67:BN72)</f>
        <v>589.5799999999999</v>
      </c>
    </row>
    <row r="67" spans="1:76" s="460" customFormat="1" ht="12">
      <c r="A67" s="459"/>
      <c r="B67" s="805" t="str">
        <f>'[1]PLANILHA CONTRATO'!A73</f>
        <v>6.1</v>
      </c>
      <c r="C67" s="805"/>
      <c r="D67" s="806" t="str">
        <f>'[1]PLANILHA CONTRATO'!C73</f>
        <v>DEMOLICAO DE ALVENARIA DE ELEMENTOS CERAMICOS VAZADOS</v>
      </c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7" t="str">
        <f>'[1]PLANILHA CONTRATO'!D73</f>
        <v>M3</v>
      </c>
      <c r="X67" s="808"/>
      <c r="Y67" s="809">
        <f>'[1]PLANILHA CONTRATO'!E73</f>
        <v>1.08</v>
      </c>
      <c r="Z67" s="810"/>
      <c r="AA67" s="811"/>
      <c r="AB67" s="776">
        <f>'[1]PLANILHA CONTRATO'!G73</f>
        <v>34.39</v>
      </c>
      <c r="AC67" s="777"/>
      <c r="AD67" s="777"/>
      <c r="AE67" s="778"/>
      <c r="AF67" s="779">
        <f t="shared" si="1"/>
        <v>37.14</v>
      </c>
      <c r="AG67" s="780"/>
      <c r="AH67" s="780"/>
      <c r="AI67" s="780"/>
      <c r="AJ67" s="780"/>
      <c r="AK67" s="812">
        <f>'[1]BM Nº03 + BM Nº01_CAIXA'!AU67</f>
        <v>1</v>
      </c>
      <c r="AL67" s="813"/>
      <c r="AM67" s="813"/>
      <c r="AN67" s="813"/>
      <c r="AO67" s="814"/>
      <c r="AP67" s="815">
        <v>0</v>
      </c>
      <c r="AQ67" s="815"/>
      <c r="AR67" s="815"/>
      <c r="AS67" s="815"/>
      <c r="AT67" s="815"/>
      <c r="AU67" s="816">
        <f t="shared" si="2"/>
        <v>1</v>
      </c>
      <c r="AV67" s="816"/>
      <c r="AW67" s="816"/>
      <c r="AX67" s="816"/>
      <c r="AY67" s="816"/>
      <c r="AZ67" s="786">
        <f t="shared" si="3"/>
        <v>37.14</v>
      </c>
      <c r="BA67" s="786"/>
      <c r="BB67" s="786"/>
      <c r="BC67" s="786"/>
      <c r="BD67" s="786"/>
      <c r="BE67" s="786">
        <f t="shared" si="4"/>
        <v>0</v>
      </c>
      <c r="BF67" s="786"/>
      <c r="BG67" s="786"/>
      <c r="BH67" s="786"/>
      <c r="BI67" s="786"/>
      <c r="BJ67" s="786">
        <f t="shared" si="5"/>
        <v>37.14</v>
      </c>
      <c r="BK67" s="786"/>
      <c r="BL67" s="786"/>
      <c r="BM67" s="786"/>
      <c r="BN67" s="786"/>
      <c r="BO67" s="459"/>
      <c r="BR67" s="509">
        <f t="shared" si="0"/>
        <v>1.08</v>
      </c>
      <c r="BS67" s="509"/>
      <c r="BT67" s="509"/>
      <c r="BU67" s="509"/>
      <c r="BW67" s="461"/>
      <c r="BX67" s="397"/>
    </row>
    <row r="68" spans="1:76" s="460" customFormat="1" ht="51.75" customHeight="1">
      <c r="A68" s="459"/>
      <c r="B68" s="805" t="str">
        <f>'[1]PLANILHA CONTRATO'!A74</f>
        <v>6.2</v>
      </c>
      <c r="C68" s="805"/>
      <c r="D68" s="806" t="str">
        <f>'[1]PLANILHA CONTRATO'!C74</f>
        <v>ESCAVAÇÃO MECANIZADA DE VALA COM PROFUNDIDADE ATÉ 1,5 M, COM RETROESCAVADEIRA (CAPACIDADE DA CAÇAMBA DA RETRO: 0,26 M3 / POTÊNCIA: 88 HP), LARGURA DE 0,8 M A 1,5 M, EM SOLO DE 1A CATEGORIA, EM VIAS URBANAS. AF_01/2015</v>
      </c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7" t="str">
        <f>'[1]PLANILHA CONTRATO'!D74</f>
        <v>M3</v>
      </c>
      <c r="X68" s="808"/>
      <c r="Y68" s="809">
        <f>'[1]PLANILHA CONTRATO'!E74</f>
        <v>8.64</v>
      </c>
      <c r="Z68" s="810"/>
      <c r="AA68" s="811"/>
      <c r="AB68" s="776">
        <f>'[1]PLANILHA CONTRATO'!G74</f>
        <v>13.85</v>
      </c>
      <c r="AC68" s="777"/>
      <c r="AD68" s="777"/>
      <c r="AE68" s="778"/>
      <c r="AF68" s="779">
        <f t="shared" si="1"/>
        <v>119.66</v>
      </c>
      <c r="AG68" s="780"/>
      <c r="AH68" s="780"/>
      <c r="AI68" s="780"/>
      <c r="AJ68" s="780"/>
      <c r="AK68" s="812">
        <f>'[1]BM Nº03 + BM Nº01_CAIXA'!AU68</f>
        <v>1</v>
      </c>
      <c r="AL68" s="813"/>
      <c r="AM68" s="813"/>
      <c r="AN68" s="813"/>
      <c r="AO68" s="814"/>
      <c r="AP68" s="815">
        <v>0</v>
      </c>
      <c r="AQ68" s="815"/>
      <c r="AR68" s="815"/>
      <c r="AS68" s="815"/>
      <c r="AT68" s="815"/>
      <c r="AU68" s="816">
        <f t="shared" si="2"/>
        <v>1</v>
      </c>
      <c r="AV68" s="816"/>
      <c r="AW68" s="816"/>
      <c r="AX68" s="816"/>
      <c r="AY68" s="816"/>
      <c r="AZ68" s="786">
        <f t="shared" si="3"/>
        <v>119.66</v>
      </c>
      <c r="BA68" s="786"/>
      <c r="BB68" s="786"/>
      <c r="BC68" s="786"/>
      <c r="BD68" s="786"/>
      <c r="BE68" s="786">
        <f t="shared" si="4"/>
        <v>0</v>
      </c>
      <c r="BF68" s="786"/>
      <c r="BG68" s="786"/>
      <c r="BH68" s="786"/>
      <c r="BI68" s="786"/>
      <c r="BJ68" s="786">
        <f t="shared" si="5"/>
        <v>119.66</v>
      </c>
      <c r="BK68" s="786"/>
      <c r="BL68" s="786"/>
      <c r="BM68" s="786"/>
      <c r="BN68" s="786"/>
      <c r="BO68" s="459"/>
      <c r="BR68" s="509">
        <f t="shared" si="0"/>
        <v>8.64</v>
      </c>
      <c r="BS68" s="509"/>
      <c r="BT68" s="509"/>
      <c r="BU68" s="509"/>
      <c r="BW68" s="461"/>
      <c r="BX68" s="397"/>
    </row>
    <row r="69" spans="1:76" s="460" customFormat="1" ht="50.25" customHeight="1">
      <c r="A69" s="459"/>
      <c r="B69" s="805" t="str">
        <f>'[1]PLANILHA CONTRATO'!A75</f>
        <v>6.3</v>
      </c>
      <c r="C69" s="805"/>
      <c r="D69" s="806" t="str">
        <f>'[1]PLANILHA CONTRATO'!C75</f>
        <v>ALVENARIA DE VEDAÇÃO DE BLOCOS VAZADOS DE CONCRETO DE 19X19X39CM (ESPESSURA 19CM) DE PAREDES COM ÁREA LÍQUIDA MENOR QUE 6M² COM VÃOS E ARGAMASSA DE ASSENTAMENTO COM PREPARO EM BETONEIRA. AF_06/2014</v>
      </c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7" t="str">
        <f>'[1]PLANILHA CONTRATO'!D75</f>
        <v>M2</v>
      </c>
      <c r="X69" s="808"/>
      <c r="Y69" s="809">
        <f>'[1]PLANILHA CONTRATO'!E75</f>
        <v>4.32</v>
      </c>
      <c r="Z69" s="810"/>
      <c r="AA69" s="811"/>
      <c r="AB69" s="776">
        <f>'[1]PLANILHA CONTRATO'!G75</f>
        <v>72.19</v>
      </c>
      <c r="AC69" s="777"/>
      <c r="AD69" s="777"/>
      <c r="AE69" s="778"/>
      <c r="AF69" s="779">
        <f t="shared" si="1"/>
        <v>311.86</v>
      </c>
      <c r="AG69" s="780"/>
      <c r="AH69" s="780"/>
      <c r="AI69" s="780"/>
      <c r="AJ69" s="780"/>
      <c r="AK69" s="812">
        <f>'[1]BM Nº03 + BM Nº01_CAIXA'!AU69</f>
        <v>0</v>
      </c>
      <c r="AL69" s="813"/>
      <c r="AM69" s="813"/>
      <c r="AN69" s="813"/>
      <c r="AO69" s="814"/>
      <c r="AP69" s="815">
        <f>'[1]BM Nº02'!AU69</f>
        <v>0</v>
      </c>
      <c r="AQ69" s="815"/>
      <c r="AR69" s="815"/>
      <c r="AS69" s="815"/>
      <c r="AT69" s="815"/>
      <c r="AU69" s="816">
        <f t="shared" si="2"/>
        <v>0</v>
      </c>
      <c r="AV69" s="816"/>
      <c r="AW69" s="816"/>
      <c r="AX69" s="816"/>
      <c r="AY69" s="816"/>
      <c r="AZ69" s="786">
        <f t="shared" si="3"/>
        <v>0</v>
      </c>
      <c r="BA69" s="786"/>
      <c r="BB69" s="786"/>
      <c r="BC69" s="786"/>
      <c r="BD69" s="786"/>
      <c r="BE69" s="786">
        <f t="shared" si="4"/>
        <v>0</v>
      </c>
      <c r="BF69" s="786"/>
      <c r="BG69" s="786"/>
      <c r="BH69" s="786"/>
      <c r="BI69" s="786"/>
      <c r="BJ69" s="786">
        <f t="shared" si="5"/>
        <v>0</v>
      </c>
      <c r="BK69" s="786"/>
      <c r="BL69" s="786"/>
      <c r="BM69" s="786"/>
      <c r="BN69" s="786"/>
      <c r="BO69" s="459"/>
      <c r="BR69" s="509">
        <f t="shared" si="0"/>
        <v>0</v>
      </c>
      <c r="BS69" s="509"/>
      <c r="BT69" s="509"/>
      <c r="BU69" s="509"/>
      <c r="BW69" s="461"/>
      <c r="BX69" s="397"/>
    </row>
    <row r="70" spans="1:76" s="460" customFormat="1" ht="47.25" customHeight="1">
      <c r="A70" s="459"/>
      <c r="B70" s="805" t="str">
        <f>'[1]PLANILHA CONTRATO'!A76</f>
        <v>6.4</v>
      </c>
      <c r="C70" s="805"/>
      <c r="D70" s="806" t="str">
        <f>'[1]PLANILHA CONTRATO'!C76</f>
        <v>CHAPISCO APLICADO TANTO EM PILARES E VIGAS DE CONCRETO COMO EM ALVENARIAS DE PAREDES EXTERNAS, COM COLHER DE PEDREIRO.  ARGAMASSA TRAÇO 1:3 COM PREPARO MANUAL. AF_06/2014</v>
      </c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7" t="str">
        <f>'[1]PLANILHA CONTRATO'!D76</f>
        <v>M2</v>
      </c>
      <c r="X70" s="808"/>
      <c r="Y70" s="809">
        <f>'[1]PLANILHA CONTRATO'!E76</f>
        <v>4.32</v>
      </c>
      <c r="Z70" s="810"/>
      <c r="AA70" s="811"/>
      <c r="AB70" s="776">
        <f>'[1]PLANILHA CONTRATO'!G76</f>
        <v>3.34</v>
      </c>
      <c r="AC70" s="777"/>
      <c r="AD70" s="777"/>
      <c r="AE70" s="778"/>
      <c r="AF70" s="779">
        <f t="shared" si="1"/>
        <v>14.43</v>
      </c>
      <c r="AG70" s="780"/>
      <c r="AH70" s="780"/>
      <c r="AI70" s="780"/>
      <c r="AJ70" s="780"/>
      <c r="AK70" s="812">
        <f>'[1]BM Nº03 + BM Nº01_CAIXA'!AU70</f>
        <v>0</v>
      </c>
      <c r="AL70" s="813"/>
      <c r="AM70" s="813"/>
      <c r="AN70" s="813"/>
      <c r="AO70" s="814"/>
      <c r="AP70" s="815">
        <f>'[1]BM Nº02'!AU70</f>
        <v>0</v>
      </c>
      <c r="AQ70" s="815"/>
      <c r="AR70" s="815"/>
      <c r="AS70" s="815"/>
      <c r="AT70" s="815"/>
      <c r="AU70" s="816">
        <f t="shared" si="2"/>
        <v>0</v>
      </c>
      <c r="AV70" s="816"/>
      <c r="AW70" s="816"/>
      <c r="AX70" s="816"/>
      <c r="AY70" s="816"/>
      <c r="AZ70" s="786">
        <f t="shared" si="3"/>
        <v>0</v>
      </c>
      <c r="BA70" s="786"/>
      <c r="BB70" s="786"/>
      <c r="BC70" s="786"/>
      <c r="BD70" s="786"/>
      <c r="BE70" s="786">
        <f t="shared" si="4"/>
        <v>0</v>
      </c>
      <c r="BF70" s="786"/>
      <c r="BG70" s="786"/>
      <c r="BH70" s="786"/>
      <c r="BI70" s="786"/>
      <c r="BJ70" s="786">
        <f t="shared" si="5"/>
        <v>0</v>
      </c>
      <c r="BK70" s="786"/>
      <c r="BL70" s="786"/>
      <c r="BM70" s="786"/>
      <c r="BN70" s="786"/>
      <c r="BO70" s="459"/>
      <c r="BR70" s="509">
        <f t="shared" si="0"/>
        <v>0</v>
      </c>
      <c r="BS70" s="509"/>
      <c r="BT70" s="509"/>
      <c r="BU70" s="509"/>
      <c r="BW70" s="461"/>
      <c r="BX70" s="397"/>
    </row>
    <row r="71" spans="1:76" s="460" customFormat="1" ht="45" customHeight="1">
      <c r="A71" s="459"/>
      <c r="B71" s="805" t="str">
        <f>'[1]PLANILHA CONTRATO'!A77</f>
        <v>6.5</v>
      </c>
      <c r="C71" s="805"/>
      <c r="D71" s="806" t="str">
        <f>'[1]PLANILHA CONTRATO'!C77</f>
        <v>REVESTIMENTO DE PAREDE COM PEDRA SAO TOME 20X40CM, ASSENTAMENTO COM ARGAMASSA TRACO 1:2:2 (CIMENTO, SAIBRO E AREIA MEDIA NÃO PENEIRADA), PREPARO MANUAL DA ARGAMASSA</v>
      </c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7" t="str">
        <f>'[1]PLANILHA CONTRATO'!D77</f>
        <v>M2</v>
      </c>
      <c r="X71" s="808"/>
      <c r="Y71" s="809">
        <f>'[1]PLANILHA CONTRATO'!E77</f>
        <v>4.32</v>
      </c>
      <c r="Z71" s="810"/>
      <c r="AA71" s="811"/>
      <c r="AB71" s="776">
        <f>'[1]PLANILHA CONTRATO'!G77</f>
        <v>138.72</v>
      </c>
      <c r="AC71" s="777"/>
      <c r="AD71" s="777"/>
      <c r="AE71" s="778"/>
      <c r="AF71" s="779">
        <f t="shared" si="1"/>
        <v>599.27</v>
      </c>
      <c r="AG71" s="780"/>
      <c r="AH71" s="780"/>
      <c r="AI71" s="780"/>
      <c r="AJ71" s="780"/>
      <c r="AK71" s="812">
        <f>'[1]BM Nº03 + BM Nº01_CAIXA'!AU71</f>
        <v>0</v>
      </c>
      <c r="AL71" s="813"/>
      <c r="AM71" s="813"/>
      <c r="AN71" s="813"/>
      <c r="AO71" s="814"/>
      <c r="AP71" s="815">
        <f>'[1]BM Nº02'!AU71</f>
        <v>0</v>
      </c>
      <c r="AQ71" s="815"/>
      <c r="AR71" s="815"/>
      <c r="AS71" s="815"/>
      <c r="AT71" s="815"/>
      <c r="AU71" s="816">
        <f t="shared" si="2"/>
        <v>0</v>
      </c>
      <c r="AV71" s="816"/>
      <c r="AW71" s="816"/>
      <c r="AX71" s="816"/>
      <c r="AY71" s="816"/>
      <c r="AZ71" s="786">
        <f t="shared" si="3"/>
        <v>0</v>
      </c>
      <c r="BA71" s="786"/>
      <c r="BB71" s="786"/>
      <c r="BC71" s="786"/>
      <c r="BD71" s="786"/>
      <c r="BE71" s="786">
        <f t="shared" si="4"/>
        <v>0</v>
      </c>
      <c r="BF71" s="786"/>
      <c r="BG71" s="786"/>
      <c r="BH71" s="786"/>
      <c r="BI71" s="786"/>
      <c r="BJ71" s="786">
        <f t="shared" si="5"/>
        <v>0</v>
      </c>
      <c r="BK71" s="786"/>
      <c r="BL71" s="786"/>
      <c r="BM71" s="786"/>
      <c r="BN71" s="786"/>
      <c r="BO71" s="459"/>
      <c r="BR71" s="509">
        <f t="shared" si="0"/>
        <v>0</v>
      </c>
      <c r="BS71" s="509"/>
      <c r="BT71" s="509"/>
      <c r="BU71" s="509"/>
      <c r="BW71" s="461"/>
      <c r="BX71" s="397"/>
    </row>
    <row r="72" spans="1:76" s="460" customFormat="1" ht="57" customHeight="1">
      <c r="A72" s="459"/>
      <c r="B72" s="805" t="str">
        <f>'[1]PLANILHA CONTRATO'!A78</f>
        <v>6.6</v>
      </c>
      <c r="C72" s="805"/>
      <c r="D72" s="806" t="str">
        <f>'[1]PLANILHA CONTRATO'!C78</f>
        <v>REATERRO APILOADO EM CAMADAS 0,20M, UTILIZANDO MATERIAL ARGILO-ARENOSO ADQUIRIDO EM JAZIDA, JÁ CONSIDERANDO UM ACRÉSCIMO DE 25% NO VOLUME DO MATERIAL ADQUIRIDO, NÃO CONSIDERANDO O TRANSPORTE ATÉ O REATERRO</v>
      </c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7" t="str">
        <f>'[1]PLANILHA CONTRATO'!D78</f>
        <v>M3</v>
      </c>
      <c r="X72" s="808"/>
      <c r="Y72" s="809">
        <f>'[1]PLANILHA CONTRATO'!E78</f>
        <v>8.64</v>
      </c>
      <c r="Z72" s="810"/>
      <c r="AA72" s="811"/>
      <c r="AB72" s="776">
        <f>'[1]PLANILHA CONTRATO'!G78</f>
        <v>50.09</v>
      </c>
      <c r="AC72" s="777"/>
      <c r="AD72" s="777"/>
      <c r="AE72" s="778"/>
      <c r="AF72" s="779">
        <f t="shared" si="1"/>
        <v>432.78</v>
      </c>
      <c r="AG72" s="780"/>
      <c r="AH72" s="780"/>
      <c r="AI72" s="780"/>
      <c r="AJ72" s="780"/>
      <c r="AK72" s="812">
        <f>'[1]BM Nº03 + BM Nº01_CAIXA'!AU72</f>
        <v>1</v>
      </c>
      <c r="AL72" s="813"/>
      <c r="AM72" s="813"/>
      <c r="AN72" s="813"/>
      <c r="AO72" s="814"/>
      <c r="AP72" s="815">
        <v>0</v>
      </c>
      <c r="AQ72" s="815"/>
      <c r="AR72" s="815"/>
      <c r="AS72" s="815"/>
      <c r="AT72" s="815"/>
      <c r="AU72" s="816">
        <f t="shared" si="2"/>
        <v>1</v>
      </c>
      <c r="AV72" s="816"/>
      <c r="AW72" s="816"/>
      <c r="AX72" s="816"/>
      <c r="AY72" s="816"/>
      <c r="AZ72" s="786">
        <f t="shared" si="3"/>
        <v>432.78</v>
      </c>
      <c r="BA72" s="786"/>
      <c r="BB72" s="786"/>
      <c r="BC72" s="786"/>
      <c r="BD72" s="786"/>
      <c r="BE72" s="786">
        <f t="shared" si="4"/>
        <v>0</v>
      </c>
      <c r="BF72" s="786"/>
      <c r="BG72" s="786"/>
      <c r="BH72" s="786"/>
      <c r="BI72" s="786"/>
      <c r="BJ72" s="786">
        <f t="shared" si="5"/>
        <v>432.78</v>
      </c>
      <c r="BK72" s="786"/>
      <c r="BL72" s="786"/>
      <c r="BM72" s="786"/>
      <c r="BN72" s="786"/>
      <c r="BO72" s="459"/>
      <c r="BR72" s="509">
        <f t="shared" si="0"/>
        <v>8.64</v>
      </c>
      <c r="BS72" s="509"/>
      <c r="BT72" s="509"/>
      <c r="BU72" s="509"/>
      <c r="BW72" s="461"/>
      <c r="BX72" s="397"/>
    </row>
    <row r="73" spans="1:76" s="460" customFormat="1" ht="12" customHeight="1">
      <c r="A73" s="459"/>
      <c r="B73" s="805"/>
      <c r="C73" s="805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7"/>
      <c r="X73" s="808"/>
      <c r="Y73" s="809"/>
      <c r="Z73" s="810"/>
      <c r="AA73" s="811"/>
      <c r="AB73" s="776"/>
      <c r="AC73" s="777"/>
      <c r="AD73" s="777"/>
      <c r="AE73" s="778"/>
      <c r="AF73" s="779"/>
      <c r="AG73" s="780"/>
      <c r="AH73" s="780"/>
      <c r="AI73" s="780"/>
      <c r="AJ73" s="780"/>
      <c r="AK73" s="812"/>
      <c r="AL73" s="813"/>
      <c r="AM73" s="813"/>
      <c r="AN73" s="813"/>
      <c r="AO73" s="814"/>
      <c r="AP73" s="815"/>
      <c r="AQ73" s="815"/>
      <c r="AR73" s="815"/>
      <c r="AS73" s="815"/>
      <c r="AT73" s="815"/>
      <c r="AU73" s="816"/>
      <c r="AV73" s="816"/>
      <c r="AW73" s="816"/>
      <c r="AX73" s="816"/>
      <c r="AY73" s="816"/>
      <c r="AZ73" s="786"/>
      <c r="BA73" s="786"/>
      <c r="BB73" s="786"/>
      <c r="BC73" s="786"/>
      <c r="BD73" s="786"/>
      <c r="BE73" s="786"/>
      <c r="BF73" s="786"/>
      <c r="BG73" s="786"/>
      <c r="BH73" s="786"/>
      <c r="BI73" s="786"/>
      <c r="BJ73" s="786"/>
      <c r="BK73" s="786"/>
      <c r="BL73" s="786"/>
      <c r="BM73" s="786"/>
      <c r="BN73" s="786"/>
      <c r="BO73" s="459"/>
      <c r="BR73" s="509">
        <f t="shared" si="0"/>
        <v>0</v>
      </c>
      <c r="BS73" s="509"/>
      <c r="BT73" s="509"/>
      <c r="BU73" s="509"/>
      <c r="BW73" s="461"/>
      <c r="BX73" s="397"/>
    </row>
    <row r="74" spans="1:76" s="457" customFormat="1" ht="12">
      <c r="A74" s="456"/>
      <c r="B74" s="787">
        <f>'[1]PLANILHA CONTRATO'!A80</f>
        <v>7</v>
      </c>
      <c r="C74" s="787"/>
      <c r="D74" s="788" t="str">
        <f>'[1]PLANILHA CONTRATO'!C80</f>
        <v>LIMPEZA GERAL</v>
      </c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817"/>
      <c r="X74" s="790"/>
      <c r="Y74" s="791"/>
      <c r="Z74" s="792"/>
      <c r="AA74" s="793"/>
      <c r="AB74" s="794"/>
      <c r="AC74" s="795"/>
      <c r="AD74" s="795"/>
      <c r="AE74" s="796"/>
      <c r="AF74" s="797"/>
      <c r="AG74" s="798"/>
      <c r="AH74" s="798"/>
      <c r="AI74" s="798"/>
      <c r="AJ74" s="798"/>
      <c r="AK74" s="812"/>
      <c r="AL74" s="813"/>
      <c r="AM74" s="813"/>
      <c r="AN74" s="813"/>
      <c r="AO74" s="814"/>
      <c r="AP74" s="815"/>
      <c r="AQ74" s="815"/>
      <c r="AR74" s="815"/>
      <c r="AS74" s="815"/>
      <c r="AT74" s="815"/>
      <c r="AU74" s="803"/>
      <c r="AV74" s="803"/>
      <c r="AW74" s="803"/>
      <c r="AX74" s="803"/>
      <c r="AY74" s="803"/>
      <c r="AZ74" s="804"/>
      <c r="BA74" s="804"/>
      <c r="BB74" s="804"/>
      <c r="BC74" s="804"/>
      <c r="BD74" s="804"/>
      <c r="BE74" s="804"/>
      <c r="BF74" s="804"/>
      <c r="BG74" s="804"/>
      <c r="BH74" s="804"/>
      <c r="BI74" s="804"/>
      <c r="BJ74" s="804"/>
      <c r="BK74" s="804"/>
      <c r="BL74" s="804"/>
      <c r="BM74" s="804"/>
      <c r="BN74" s="804"/>
      <c r="BO74" s="456"/>
      <c r="BR74" s="509">
        <f t="shared" si="0"/>
        <v>0</v>
      </c>
      <c r="BS74" s="509"/>
      <c r="BT74" s="509"/>
      <c r="BU74" s="509"/>
      <c r="BW74" s="462">
        <f>SUM(BE75)</f>
        <v>0</v>
      </c>
      <c r="BX74" s="458">
        <f>SUM(BJ75)</f>
        <v>0</v>
      </c>
    </row>
    <row r="75" spans="1:76" s="460" customFormat="1" ht="23.25" customHeight="1">
      <c r="A75" s="459"/>
      <c r="B75" s="805" t="str">
        <f>'[1]PLANILHA CONTRATO'!A81</f>
        <v>7.1</v>
      </c>
      <c r="C75" s="805"/>
      <c r="D75" s="806" t="str">
        <f>'[1]PLANILHA CONTRATO'!C81</f>
        <v>LIMPEZA DE SUPERFICIES COM JATO DE ALTA PRESSAO DE AR E AGUA</v>
      </c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7" t="str">
        <f>'[1]PLANILHA CONTRATO'!D81</f>
        <v>M2</v>
      </c>
      <c r="X75" s="808"/>
      <c r="Y75" s="809">
        <f>'[1]PLANILHA CONTRATO'!E81</f>
        <v>9103.06</v>
      </c>
      <c r="Z75" s="810"/>
      <c r="AA75" s="811"/>
      <c r="AB75" s="776">
        <f>'[1]PLANILHA CONTRATO'!G81</f>
        <v>0.26</v>
      </c>
      <c r="AC75" s="777"/>
      <c r="AD75" s="777"/>
      <c r="AE75" s="778"/>
      <c r="AF75" s="779">
        <f t="shared" si="1"/>
        <v>2366.8</v>
      </c>
      <c r="AG75" s="780"/>
      <c r="AH75" s="780"/>
      <c r="AI75" s="780"/>
      <c r="AJ75" s="780"/>
      <c r="AK75" s="812">
        <f>'[1]BM Nº03 + BM Nº01_CAIXA'!AU75</f>
        <v>0</v>
      </c>
      <c r="AL75" s="813"/>
      <c r="AM75" s="813"/>
      <c r="AN75" s="813"/>
      <c r="AO75" s="814"/>
      <c r="AP75" s="815">
        <f>'[1]BM Nº02'!AU75</f>
        <v>0</v>
      </c>
      <c r="AQ75" s="815"/>
      <c r="AR75" s="815"/>
      <c r="AS75" s="815"/>
      <c r="AT75" s="815"/>
      <c r="AU75" s="816">
        <f t="shared" si="2"/>
        <v>0</v>
      </c>
      <c r="AV75" s="816"/>
      <c r="AW75" s="816"/>
      <c r="AX75" s="816"/>
      <c r="AY75" s="816"/>
      <c r="AZ75" s="786">
        <f t="shared" si="3"/>
        <v>0</v>
      </c>
      <c r="BA75" s="786"/>
      <c r="BB75" s="786"/>
      <c r="BC75" s="786"/>
      <c r="BD75" s="786"/>
      <c r="BE75" s="786">
        <f t="shared" si="4"/>
        <v>0</v>
      </c>
      <c r="BF75" s="786"/>
      <c r="BG75" s="786"/>
      <c r="BH75" s="786"/>
      <c r="BI75" s="786"/>
      <c r="BJ75" s="786">
        <f t="shared" si="5"/>
        <v>0</v>
      </c>
      <c r="BK75" s="786"/>
      <c r="BL75" s="786"/>
      <c r="BM75" s="786"/>
      <c r="BN75" s="786"/>
      <c r="BO75" s="459"/>
      <c r="BR75" s="509">
        <f t="shared" si="0"/>
        <v>0</v>
      </c>
      <c r="BS75" s="509"/>
      <c r="BT75" s="509"/>
      <c r="BU75" s="509"/>
      <c r="BW75" s="461"/>
      <c r="BX75" s="397"/>
    </row>
    <row r="76" spans="1:76" s="460" customFormat="1" ht="12">
      <c r="A76" s="459"/>
      <c r="B76" s="805"/>
      <c r="C76" s="805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36"/>
      <c r="X76" s="808"/>
      <c r="Y76" s="809"/>
      <c r="Z76" s="810"/>
      <c r="AA76" s="811"/>
      <c r="AB76" s="776"/>
      <c r="AC76" s="777"/>
      <c r="AD76" s="777"/>
      <c r="AE76" s="778"/>
      <c r="AF76" s="779"/>
      <c r="AG76" s="780"/>
      <c r="AH76" s="780"/>
      <c r="AI76" s="780"/>
      <c r="AJ76" s="780"/>
      <c r="AK76" s="812"/>
      <c r="AL76" s="813"/>
      <c r="AM76" s="813"/>
      <c r="AN76" s="813"/>
      <c r="AO76" s="814"/>
      <c r="AP76" s="812"/>
      <c r="AQ76" s="813"/>
      <c r="AR76" s="813"/>
      <c r="AS76" s="813"/>
      <c r="AT76" s="814"/>
      <c r="AU76" s="816"/>
      <c r="AV76" s="816"/>
      <c r="AW76" s="816"/>
      <c r="AX76" s="816"/>
      <c r="AY76" s="816"/>
      <c r="AZ76" s="786"/>
      <c r="BA76" s="786"/>
      <c r="BB76" s="786"/>
      <c r="BC76" s="786"/>
      <c r="BD76" s="786"/>
      <c r="BE76" s="786"/>
      <c r="BF76" s="786"/>
      <c r="BG76" s="786"/>
      <c r="BH76" s="786"/>
      <c r="BI76" s="786"/>
      <c r="BJ76" s="786"/>
      <c r="BK76" s="786"/>
      <c r="BL76" s="786"/>
      <c r="BM76" s="786"/>
      <c r="BN76" s="786"/>
      <c r="BO76" s="459"/>
      <c r="BR76" s="509"/>
      <c r="BS76" s="509"/>
      <c r="BT76" s="509"/>
      <c r="BU76" s="509"/>
      <c r="BW76" s="461"/>
      <c r="BX76" s="397"/>
    </row>
    <row r="77" spans="1:72" ht="13.5" customHeight="1">
      <c r="A77" s="392"/>
      <c r="B77" s="837"/>
      <c r="C77" s="837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1"/>
      <c r="X77" s="771"/>
      <c r="Y77" s="773"/>
      <c r="Z77" s="774"/>
      <c r="AA77" s="775"/>
      <c r="AB77" s="776"/>
      <c r="AC77" s="777"/>
      <c r="AD77" s="777"/>
      <c r="AE77" s="778"/>
      <c r="AF77" s="779"/>
      <c r="AG77" s="780"/>
      <c r="AH77" s="780"/>
      <c r="AI77" s="780"/>
      <c r="AJ77" s="780"/>
      <c r="AK77" s="781"/>
      <c r="AL77" s="782"/>
      <c r="AM77" s="782"/>
      <c r="AN77" s="782"/>
      <c r="AO77" s="783"/>
      <c r="AP77" s="784"/>
      <c r="AQ77" s="784"/>
      <c r="AR77" s="784"/>
      <c r="AS77" s="784"/>
      <c r="AT77" s="784"/>
      <c r="AU77" s="785"/>
      <c r="AV77" s="785"/>
      <c r="AW77" s="785"/>
      <c r="AX77" s="785"/>
      <c r="AY77" s="785"/>
      <c r="AZ77" s="786"/>
      <c r="BA77" s="786"/>
      <c r="BB77" s="786"/>
      <c r="BC77" s="786"/>
      <c r="BD77" s="786"/>
      <c r="BE77" s="786"/>
      <c r="BF77" s="786"/>
      <c r="BG77" s="786"/>
      <c r="BH77" s="786"/>
      <c r="BI77" s="786"/>
      <c r="BJ77" s="786"/>
      <c r="BK77" s="786"/>
      <c r="BL77" s="786"/>
      <c r="BM77" s="786"/>
      <c r="BN77" s="786"/>
      <c r="BO77" s="392"/>
      <c r="BR77" s="509" t="s">
        <v>359</v>
      </c>
      <c r="BT77" s="509">
        <f>'[1]BM Nº04'!BJ78</f>
        <v>396446.13000000006</v>
      </c>
    </row>
    <row r="78" spans="1:76" ht="12">
      <c r="A78" s="392"/>
      <c r="B78" s="838"/>
      <c r="C78" s="741"/>
      <c r="D78" s="839" t="s">
        <v>333</v>
      </c>
      <c r="E78" s="839"/>
      <c r="F78" s="839"/>
      <c r="G78" s="839"/>
      <c r="H78" s="839"/>
      <c r="I78" s="839"/>
      <c r="J78" s="839"/>
      <c r="K78" s="839"/>
      <c r="L78" s="839"/>
      <c r="M78" s="839"/>
      <c r="N78" s="839"/>
      <c r="O78" s="839"/>
      <c r="P78" s="839"/>
      <c r="Q78" s="839"/>
      <c r="R78" s="839"/>
      <c r="S78" s="839"/>
      <c r="T78" s="839"/>
      <c r="U78" s="839"/>
      <c r="V78" s="839"/>
      <c r="W78" s="838"/>
      <c r="X78" s="741"/>
      <c r="Y78" s="840"/>
      <c r="Z78" s="841"/>
      <c r="AA78" s="841"/>
      <c r="AB78" s="842"/>
      <c r="AC78" s="843"/>
      <c r="AD78" s="844"/>
      <c r="AE78" s="844"/>
      <c r="AF78" s="845">
        <f>SUM(AF21:AJ77)</f>
        <v>570087.8800000001</v>
      </c>
      <c r="AG78" s="846"/>
      <c r="AH78" s="846"/>
      <c r="AI78" s="846"/>
      <c r="AJ78" s="847"/>
      <c r="AK78" s="848">
        <f>AZ78/AF78</f>
        <v>0.5500000045136705</v>
      </c>
      <c r="AL78" s="849"/>
      <c r="AM78" s="849"/>
      <c r="AN78" s="849"/>
      <c r="AO78" s="850"/>
      <c r="AP78" s="848">
        <f>IF(AF78&lt;&gt;0,BE78/AF78,"")</f>
        <v>0.3159814933883929</v>
      </c>
      <c r="AQ78" s="849"/>
      <c r="AR78" s="849"/>
      <c r="AS78" s="849"/>
      <c r="AT78" s="850"/>
      <c r="AU78" s="851">
        <f>IF(AF78&lt;&gt;0,BJ78/AF78,"")</f>
        <v>0.8659815044655921</v>
      </c>
      <c r="AV78" s="852"/>
      <c r="AW78" s="852"/>
      <c r="AX78" s="852"/>
      <c r="AY78" s="853"/>
      <c r="AZ78" s="854">
        <f>SUM(AZ21:BD77)</f>
        <v>313548.3365731889</v>
      </c>
      <c r="BA78" s="855"/>
      <c r="BB78" s="855"/>
      <c r="BC78" s="855"/>
      <c r="BD78" s="855"/>
      <c r="BE78" s="856">
        <f>SUM(BE21:BI77)</f>
        <v>180137.21968502295</v>
      </c>
      <c r="BF78" s="857"/>
      <c r="BG78" s="857"/>
      <c r="BH78" s="857"/>
      <c r="BI78" s="858"/>
      <c r="BJ78" s="845">
        <f>SUM(BJ21:BN77)</f>
        <v>493685.56</v>
      </c>
      <c r="BK78" s="846"/>
      <c r="BL78" s="846"/>
      <c r="BM78" s="846"/>
      <c r="BN78" s="847"/>
      <c r="BO78" s="392"/>
      <c r="BW78" s="509">
        <f>SUM(BW20:BW77)</f>
        <v>180137.21968502298</v>
      </c>
      <c r="BX78" s="509">
        <f>SUM(BX22:BX77)</f>
        <v>493685.56</v>
      </c>
    </row>
    <row r="79" spans="1:67" ht="12">
      <c r="A79" s="392" t="s">
        <v>334</v>
      </c>
      <c r="B79" s="464"/>
      <c r="C79" s="465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7" t="s">
        <v>335</v>
      </c>
      <c r="X79" s="467"/>
      <c r="Y79" s="859"/>
      <c r="Z79" s="860"/>
      <c r="AA79" s="860"/>
      <c r="AB79" s="860"/>
      <c r="AC79" s="468"/>
      <c r="AD79" s="468"/>
      <c r="AE79" s="468"/>
      <c r="AF79" s="469"/>
      <c r="AG79" s="470"/>
      <c r="AH79" s="470"/>
      <c r="AI79" s="470"/>
      <c r="AJ79" s="470"/>
      <c r="AK79" s="471"/>
      <c r="AL79" s="471"/>
      <c r="AM79" s="471"/>
      <c r="AN79" s="471"/>
      <c r="AO79" s="471"/>
      <c r="AP79" s="471"/>
      <c r="AQ79" s="471"/>
      <c r="AR79" s="471"/>
      <c r="AS79" s="471"/>
      <c r="AT79" s="471"/>
      <c r="AU79" s="471"/>
      <c r="AV79" s="471"/>
      <c r="AW79" s="471"/>
      <c r="AX79" s="471"/>
      <c r="AY79" s="471"/>
      <c r="AZ79" s="501"/>
      <c r="BA79" s="501"/>
      <c r="BB79" s="501"/>
      <c r="BC79" s="501"/>
      <c r="BD79" s="501"/>
      <c r="BE79" s="501"/>
      <c r="BF79" s="501"/>
      <c r="BG79" s="501"/>
      <c r="BH79" s="501"/>
      <c r="BI79" s="501"/>
      <c r="BJ79" s="501"/>
      <c r="BK79" s="501"/>
      <c r="BL79" s="501"/>
      <c r="BM79" s="501"/>
      <c r="BN79" s="502"/>
      <c r="BO79" s="392"/>
    </row>
    <row r="80" spans="1:77" ht="12">
      <c r="A80" s="392"/>
      <c r="B80" s="838"/>
      <c r="C80" s="741"/>
      <c r="D80" s="839" t="s">
        <v>336</v>
      </c>
      <c r="E80" s="839"/>
      <c r="F80" s="839"/>
      <c r="G80" s="839"/>
      <c r="H80" s="839"/>
      <c r="I80" s="839"/>
      <c r="J80" s="839"/>
      <c r="K80" s="839"/>
      <c r="L80" s="839"/>
      <c r="M80" s="839"/>
      <c r="N80" s="839"/>
      <c r="O80" s="839"/>
      <c r="P80" s="839"/>
      <c r="Q80" s="839"/>
      <c r="R80" s="839"/>
      <c r="S80" s="839"/>
      <c r="T80" s="839"/>
      <c r="U80" s="839"/>
      <c r="V80" s="839"/>
      <c r="W80" s="839"/>
      <c r="X80" s="839"/>
      <c r="Y80" s="839"/>
      <c r="Z80" s="839"/>
      <c r="AA80" s="839"/>
      <c r="AB80" s="839"/>
      <c r="AC80" s="843"/>
      <c r="AD80" s="844"/>
      <c r="AE80" s="844"/>
      <c r="AF80" s="845"/>
      <c r="AG80" s="846"/>
      <c r="AH80" s="846"/>
      <c r="AI80" s="846"/>
      <c r="AJ80" s="847"/>
      <c r="AK80" s="472"/>
      <c r="AL80" s="473"/>
      <c r="AM80" s="473"/>
      <c r="AN80" s="473"/>
      <c r="AO80" s="473"/>
      <c r="AP80" s="473"/>
      <c r="AQ80" s="473"/>
      <c r="AR80" s="473"/>
      <c r="AS80" s="473"/>
      <c r="AT80" s="473"/>
      <c r="AU80" s="473"/>
      <c r="AV80" s="473"/>
      <c r="AW80" s="473"/>
      <c r="AX80" s="473"/>
      <c r="AY80" s="473"/>
      <c r="AZ80" s="856">
        <f>(1+$Y79)*AZ78</f>
        <v>313548.3365731889</v>
      </c>
      <c r="BA80" s="857"/>
      <c r="BB80" s="857"/>
      <c r="BC80" s="857"/>
      <c r="BD80" s="858"/>
      <c r="BE80" s="856">
        <f>(1+$Y79)*BE78</f>
        <v>180137.21968502295</v>
      </c>
      <c r="BF80" s="857"/>
      <c r="BG80" s="857"/>
      <c r="BH80" s="857"/>
      <c r="BI80" s="858"/>
      <c r="BJ80" s="856">
        <f>(1+$Y79)*BJ78</f>
        <v>493685.56</v>
      </c>
      <c r="BK80" s="857"/>
      <c r="BL80" s="857"/>
      <c r="BM80" s="857"/>
      <c r="BN80" s="858"/>
      <c r="BO80" s="392"/>
      <c r="BR80" s="509" t="s">
        <v>337</v>
      </c>
      <c r="BS80" s="510">
        <f>'[1]CRONOGRAMA INICIAL'!J52</f>
        <v>0.8659848186161747</v>
      </c>
      <c r="BT80" s="509">
        <f>B16*BS80</f>
        <v>493687.4308250046</v>
      </c>
      <c r="BW80" s="447" t="s">
        <v>338</v>
      </c>
      <c r="BX80" s="474">
        <f>'[1]CRONOGRAMA INICIAL'!I52</f>
        <v>0.6827405844460851</v>
      </c>
      <c r="BY80" s="475" t="s">
        <v>170</v>
      </c>
    </row>
    <row r="81" spans="1:76" s="481" customFormat="1" ht="6" customHeight="1">
      <c r="A81" s="476"/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503"/>
      <c r="Z81" s="503"/>
      <c r="AA81" s="503"/>
      <c r="AB81" s="503"/>
      <c r="AC81" s="478"/>
      <c r="AD81" s="478"/>
      <c r="AE81" s="478"/>
      <c r="AF81" s="479"/>
      <c r="AG81" s="479"/>
      <c r="AH81" s="479"/>
      <c r="AI81" s="479"/>
      <c r="AJ81" s="479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480"/>
      <c r="BC81" s="503"/>
      <c r="BD81" s="503"/>
      <c r="BE81" s="503"/>
      <c r="BF81" s="503"/>
      <c r="BG81" s="503"/>
      <c r="BH81" s="503"/>
      <c r="BI81" s="503"/>
      <c r="BJ81" s="503"/>
      <c r="BK81" s="503"/>
      <c r="BL81" s="503"/>
      <c r="BM81" s="503"/>
      <c r="BN81" s="503"/>
      <c r="BO81" s="476"/>
      <c r="BR81" s="511"/>
      <c r="BS81" s="511"/>
      <c r="BT81" s="511"/>
      <c r="BU81" s="511"/>
      <c r="BW81" s="482"/>
      <c r="BX81" s="482"/>
    </row>
    <row r="82" spans="1:76" s="481" customFormat="1" ht="12" customHeight="1">
      <c r="A82" s="476"/>
      <c r="B82" s="483" t="s">
        <v>339</v>
      </c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394"/>
      <c r="X82" s="484"/>
      <c r="Y82" s="484"/>
      <c r="Z82" s="484"/>
      <c r="AA82" s="484"/>
      <c r="AB82" s="484"/>
      <c r="AC82" s="484"/>
      <c r="AD82" s="484"/>
      <c r="AE82" s="484"/>
      <c r="AF82" s="484"/>
      <c r="AG82" s="484"/>
      <c r="AH82" s="484"/>
      <c r="AI82" s="484"/>
      <c r="AJ82" s="484"/>
      <c r="AK82" s="480"/>
      <c r="AL82" s="480"/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503"/>
      <c r="BD82" s="503"/>
      <c r="BE82" s="503"/>
      <c r="BF82" s="503"/>
      <c r="BG82" s="503"/>
      <c r="BH82" s="503"/>
      <c r="BI82" s="503"/>
      <c r="BJ82" s="503"/>
      <c r="BK82" s="503"/>
      <c r="BL82" s="503"/>
      <c r="BM82" s="503"/>
      <c r="BN82" s="504"/>
      <c r="BO82" s="476"/>
      <c r="BR82" s="511"/>
      <c r="BS82" s="511"/>
      <c r="BT82" s="511"/>
      <c r="BU82" s="511"/>
      <c r="BW82" s="482"/>
      <c r="BX82" s="482"/>
    </row>
    <row r="83" spans="1:76" s="481" customFormat="1" ht="12">
      <c r="A83" s="476"/>
      <c r="B83" s="862"/>
      <c r="C83" s="863"/>
      <c r="D83" s="863"/>
      <c r="E83" s="863"/>
      <c r="F83" s="863"/>
      <c r="G83" s="863"/>
      <c r="H83" s="863"/>
      <c r="I83" s="863"/>
      <c r="J83" s="863"/>
      <c r="K83" s="863"/>
      <c r="L83" s="863"/>
      <c r="M83" s="863"/>
      <c r="N83" s="863"/>
      <c r="O83" s="863"/>
      <c r="P83" s="863"/>
      <c r="Q83" s="863"/>
      <c r="R83" s="863"/>
      <c r="S83" s="863"/>
      <c r="T83" s="863"/>
      <c r="U83" s="863"/>
      <c r="V83" s="863"/>
      <c r="W83" s="863"/>
      <c r="X83" s="863"/>
      <c r="Y83" s="863"/>
      <c r="Z83" s="863"/>
      <c r="AA83" s="863"/>
      <c r="AB83" s="863"/>
      <c r="AC83" s="863"/>
      <c r="AD83" s="863"/>
      <c r="AE83" s="863"/>
      <c r="AF83" s="863"/>
      <c r="AG83" s="863"/>
      <c r="AH83" s="863"/>
      <c r="AI83" s="863"/>
      <c r="AJ83" s="863"/>
      <c r="AK83" s="863"/>
      <c r="AL83" s="863"/>
      <c r="AM83" s="863"/>
      <c r="AN83" s="863"/>
      <c r="AO83" s="863"/>
      <c r="AP83" s="863"/>
      <c r="AQ83" s="863"/>
      <c r="AR83" s="863"/>
      <c r="AS83" s="863"/>
      <c r="AT83" s="863"/>
      <c r="AU83" s="863"/>
      <c r="AV83" s="863"/>
      <c r="AW83" s="863"/>
      <c r="AX83" s="863"/>
      <c r="AY83" s="863"/>
      <c r="AZ83" s="863"/>
      <c r="BA83" s="863"/>
      <c r="BB83" s="863"/>
      <c r="BC83" s="863"/>
      <c r="BD83" s="863"/>
      <c r="BE83" s="863"/>
      <c r="BF83" s="863"/>
      <c r="BG83" s="863"/>
      <c r="BH83" s="863"/>
      <c r="BI83" s="863"/>
      <c r="BJ83" s="863"/>
      <c r="BK83" s="863"/>
      <c r="BL83" s="863"/>
      <c r="BM83" s="863"/>
      <c r="BN83" s="864"/>
      <c r="BO83" s="476"/>
      <c r="BR83" s="511"/>
      <c r="BS83" s="511"/>
      <c r="BT83" s="511">
        <f>BT80-BJ78</f>
        <v>1.8708250045892783</v>
      </c>
      <c r="BU83" s="511"/>
      <c r="BW83" s="511"/>
      <c r="BX83" s="482"/>
    </row>
    <row r="84" spans="1:76" s="481" customFormat="1" ht="12">
      <c r="A84" s="476"/>
      <c r="B84" s="865"/>
      <c r="C84" s="866"/>
      <c r="D84" s="866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R84" s="866"/>
      <c r="S84" s="866"/>
      <c r="T84" s="866"/>
      <c r="U84" s="866"/>
      <c r="V84" s="866"/>
      <c r="W84" s="866"/>
      <c r="X84" s="866"/>
      <c r="Y84" s="866"/>
      <c r="Z84" s="866"/>
      <c r="AA84" s="866"/>
      <c r="AB84" s="866"/>
      <c r="AC84" s="866"/>
      <c r="AD84" s="866"/>
      <c r="AE84" s="866"/>
      <c r="AF84" s="866"/>
      <c r="AG84" s="866"/>
      <c r="AH84" s="866"/>
      <c r="AI84" s="866"/>
      <c r="AJ84" s="866"/>
      <c r="AK84" s="866"/>
      <c r="AL84" s="866"/>
      <c r="AM84" s="866"/>
      <c r="AN84" s="866"/>
      <c r="AO84" s="866"/>
      <c r="AP84" s="866"/>
      <c r="AQ84" s="866"/>
      <c r="AR84" s="866"/>
      <c r="AS84" s="866"/>
      <c r="AT84" s="866"/>
      <c r="AU84" s="866"/>
      <c r="AV84" s="866"/>
      <c r="AW84" s="866"/>
      <c r="AX84" s="866"/>
      <c r="AY84" s="866"/>
      <c r="AZ84" s="866"/>
      <c r="BA84" s="866"/>
      <c r="BB84" s="866"/>
      <c r="BC84" s="866"/>
      <c r="BD84" s="866"/>
      <c r="BE84" s="866"/>
      <c r="BF84" s="866"/>
      <c r="BG84" s="866"/>
      <c r="BH84" s="866"/>
      <c r="BI84" s="866"/>
      <c r="BJ84" s="866"/>
      <c r="BK84" s="866"/>
      <c r="BL84" s="866"/>
      <c r="BM84" s="866"/>
      <c r="BN84" s="867"/>
      <c r="BO84" s="476"/>
      <c r="BR84" s="511"/>
      <c r="BS84" s="511"/>
      <c r="BT84" s="511"/>
      <c r="BU84" s="511"/>
      <c r="BW84" s="482"/>
      <c r="BX84" s="482"/>
    </row>
    <row r="85" spans="1:76" s="481" customFormat="1" ht="12">
      <c r="A85" s="476"/>
      <c r="B85" s="477"/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85"/>
      <c r="W85" s="486"/>
      <c r="X85" s="486"/>
      <c r="Y85" s="486"/>
      <c r="Z85" s="486"/>
      <c r="AA85" s="486"/>
      <c r="AB85" s="486"/>
      <c r="AC85" s="486"/>
      <c r="AD85" s="486"/>
      <c r="AE85" s="486"/>
      <c r="AF85" s="486"/>
      <c r="AG85" s="486"/>
      <c r="AH85" s="486"/>
      <c r="AI85" s="486"/>
      <c r="AJ85" s="486"/>
      <c r="AK85" s="487"/>
      <c r="AL85" s="487"/>
      <c r="AM85" s="487"/>
      <c r="AN85" s="487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503"/>
      <c r="BD85" s="503"/>
      <c r="BE85" s="503"/>
      <c r="BF85" s="503"/>
      <c r="BG85" s="503"/>
      <c r="BH85" s="503"/>
      <c r="BI85" s="503"/>
      <c r="BJ85" s="503"/>
      <c r="BK85" s="503"/>
      <c r="BL85" s="503"/>
      <c r="BM85" s="503"/>
      <c r="BN85" s="503"/>
      <c r="BO85" s="476"/>
      <c r="BR85" s="511"/>
      <c r="BS85" s="511"/>
      <c r="BT85" s="511"/>
      <c r="BU85" s="511"/>
      <c r="BW85" s="488"/>
      <c r="BX85" s="482"/>
    </row>
    <row r="86" spans="1:76" s="481" customFormat="1" ht="12">
      <c r="A86" s="476"/>
      <c r="B86" s="868" t="s">
        <v>340</v>
      </c>
      <c r="C86" s="869"/>
      <c r="D86" s="869"/>
      <c r="E86" s="869"/>
      <c r="F86" s="869"/>
      <c r="G86" s="869"/>
      <c r="H86" s="869"/>
      <c r="I86" s="869"/>
      <c r="J86" s="869"/>
      <c r="K86" s="869"/>
      <c r="L86" s="869"/>
      <c r="M86" s="869"/>
      <c r="N86" s="869"/>
      <c r="O86" s="869"/>
      <c r="P86" s="869"/>
      <c r="Q86" s="869"/>
      <c r="R86" s="869"/>
      <c r="S86" s="869"/>
      <c r="T86" s="869"/>
      <c r="U86" s="869"/>
      <c r="V86" s="870"/>
      <c r="W86" s="489"/>
      <c r="X86" s="484"/>
      <c r="Y86" s="484"/>
      <c r="Z86" s="484"/>
      <c r="AA86" s="484"/>
      <c r="AB86" s="484"/>
      <c r="AC86" s="484"/>
      <c r="AD86" s="484"/>
      <c r="AE86" s="484"/>
      <c r="AF86" s="484"/>
      <c r="AG86" s="484"/>
      <c r="AH86" s="484"/>
      <c r="AI86" s="484"/>
      <c r="AJ86" s="484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503"/>
      <c r="BD86" s="503"/>
      <c r="BE86" s="503"/>
      <c r="BF86" s="503"/>
      <c r="BG86" s="503"/>
      <c r="BH86" s="503"/>
      <c r="BI86" s="503"/>
      <c r="BJ86" s="503"/>
      <c r="BK86" s="503"/>
      <c r="BL86" s="503"/>
      <c r="BM86" s="503"/>
      <c r="BN86" s="503"/>
      <c r="BO86" s="476"/>
      <c r="BR86" s="511"/>
      <c r="BS86" s="511"/>
      <c r="BT86" s="511"/>
      <c r="BU86" s="511"/>
      <c r="BW86" s="488"/>
      <c r="BX86" s="482"/>
    </row>
    <row r="87" spans="1:76" s="481" customFormat="1" ht="12">
      <c r="A87" s="476"/>
      <c r="B87" s="871"/>
      <c r="C87" s="872"/>
      <c r="D87" s="872"/>
      <c r="E87" s="872"/>
      <c r="F87" s="872"/>
      <c r="G87" s="872"/>
      <c r="H87" s="872"/>
      <c r="I87" s="872"/>
      <c r="J87" s="872"/>
      <c r="K87" s="872"/>
      <c r="L87" s="872"/>
      <c r="M87" s="872"/>
      <c r="N87" s="872"/>
      <c r="O87" s="872"/>
      <c r="P87" s="872"/>
      <c r="Q87" s="872"/>
      <c r="R87" s="872"/>
      <c r="S87" s="872"/>
      <c r="T87" s="872"/>
      <c r="U87" s="872"/>
      <c r="V87" s="873"/>
      <c r="W87" s="489"/>
      <c r="X87" s="484"/>
      <c r="Y87" s="484"/>
      <c r="Z87" s="484"/>
      <c r="AA87" s="484"/>
      <c r="AB87" s="484"/>
      <c r="AC87" s="484"/>
      <c r="AD87" s="484"/>
      <c r="AE87" s="484"/>
      <c r="AF87" s="484"/>
      <c r="AG87" s="484"/>
      <c r="AH87" s="484"/>
      <c r="AI87" s="484"/>
      <c r="AJ87" s="484"/>
      <c r="AK87" s="480"/>
      <c r="AL87" s="480"/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W87" s="480"/>
      <c r="AX87" s="480"/>
      <c r="AY87" s="480"/>
      <c r="AZ87" s="480"/>
      <c r="BA87" s="480"/>
      <c r="BB87" s="480"/>
      <c r="BC87" s="503"/>
      <c r="BD87" s="503"/>
      <c r="BE87" s="503"/>
      <c r="BF87" s="503"/>
      <c r="BG87" s="503"/>
      <c r="BH87" s="503"/>
      <c r="BI87" s="503"/>
      <c r="BJ87" s="503"/>
      <c r="BK87" s="503"/>
      <c r="BL87" s="503"/>
      <c r="BM87" s="503"/>
      <c r="BN87" s="503"/>
      <c r="BO87" s="476"/>
      <c r="BR87" s="511"/>
      <c r="BS87" s="511"/>
      <c r="BT87" s="511"/>
      <c r="BU87" s="511"/>
      <c r="BW87" s="482"/>
      <c r="BX87" s="482"/>
    </row>
    <row r="88" spans="1:76" s="481" customFormat="1" ht="12">
      <c r="A88" s="476"/>
      <c r="B88" s="871"/>
      <c r="C88" s="872"/>
      <c r="D88" s="872"/>
      <c r="E88" s="872"/>
      <c r="F88" s="872"/>
      <c r="G88" s="872"/>
      <c r="H88" s="872"/>
      <c r="I88" s="872"/>
      <c r="J88" s="872"/>
      <c r="K88" s="872"/>
      <c r="L88" s="872"/>
      <c r="M88" s="872"/>
      <c r="N88" s="872"/>
      <c r="O88" s="872"/>
      <c r="P88" s="872"/>
      <c r="Q88" s="872"/>
      <c r="R88" s="872"/>
      <c r="S88" s="872"/>
      <c r="T88" s="872"/>
      <c r="U88" s="872"/>
      <c r="V88" s="873"/>
      <c r="W88" s="489"/>
      <c r="X88" s="484"/>
      <c r="Y88" s="484"/>
      <c r="Z88" s="484"/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480"/>
      <c r="BC88" s="503"/>
      <c r="BD88" s="503"/>
      <c r="BE88" s="503"/>
      <c r="BF88" s="503"/>
      <c r="BG88" s="503"/>
      <c r="BH88" s="503"/>
      <c r="BI88" s="503"/>
      <c r="BJ88" s="503"/>
      <c r="BK88" s="503"/>
      <c r="BL88" s="503"/>
      <c r="BM88" s="503"/>
      <c r="BN88" s="503"/>
      <c r="BO88" s="476"/>
      <c r="BR88" s="511"/>
      <c r="BS88" s="511"/>
      <c r="BT88" s="511"/>
      <c r="BU88" s="511"/>
      <c r="BW88" s="482"/>
      <c r="BX88" s="482"/>
    </row>
    <row r="89" spans="1:76" s="481" customFormat="1" ht="12">
      <c r="A89" s="476"/>
      <c r="B89" s="871"/>
      <c r="C89" s="872"/>
      <c r="D89" s="872"/>
      <c r="E89" s="872"/>
      <c r="F89" s="872"/>
      <c r="G89" s="872"/>
      <c r="H89" s="872"/>
      <c r="I89" s="872"/>
      <c r="J89" s="872"/>
      <c r="K89" s="872"/>
      <c r="L89" s="872"/>
      <c r="M89" s="872"/>
      <c r="N89" s="872"/>
      <c r="O89" s="872"/>
      <c r="P89" s="872"/>
      <c r="Q89" s="872"/>
      <c r="R89" s="872"/>
      <c r="S89" s="872"/>
      <c r="T89" s="872"/>
      <c r="U89" s="872"/>
      <c r="V89" s="873"/>
      <c r="W89" s="489"/>
      <c r="X89" s="484"/>
      <c r="Y89" s="490"/>
      <c r="Z89" s="490"/>
      <c r="AA89" s="490"/>
      <c r="AB89" s="490"/>
      <c r="AC89" s="490"/>
      <c r="AD89" s="490"/>
      <c r="AE89" s="490"/>
      <c r="AF89" s="490"/>
      <c r="AG89" s="490"/>
      <c r="AH89" s="490"/>
      <c r="AI89" s="490"/>
      <c r="AJ89" s="490"/>
      <c r="AK89" s="491"/>
      <c r="AL89" s="491"/>
      <c r="AM89" s="491"/>
      <c r="AN89" s="491"/>
      <c r="AO89" s="491"/>
      <c r="AP89" s="480"/>
      <c r="AQ89" s="480"/>
      <c r="AR89" s="480"/>
      <c r="AS89" s="480"/>
      <c r="AT89" s="480"/>
      <c r="AU89" s="480"/>
      <c r="AV89" s="480"/>
      <c r="AW89" s="480"/>
      <c r="AX89" s="480"/>
      <c r="AY89" s="480"/>
      <c r="AZ89" s="490"/>
      <c r="BA89" s="490"/>
      <c r="BB89" s="490"/>
      <c r="BC89" s="490"/>
      <c r="BD89" s="490"/>
      <c r="BE89" s="490"/>
      <c r="BF89" s="490"/>
      <c r="BG89" s="490"/>
      <c r="BH89" s="490"/>
      <c r="BI89" s="490"/>
      <c r="BJ89" s="490"/>
      <c r="BK89" s="490"/>
      <c r="BL89" s="491"/>
      <c r="BM89" s="491"/>
      <c r="BN89" s="491"/>
      <c r="BO89" s="476"/>
      <c r="BR89" s="511"/>
      <c r="BS89" s="511"/>
      <c r="BT89" s="511"/>
      <c r="BU89" s="511"/>
      <c r="BW89" s="482"/>
      <c r="BX89" s="482"/>
    </row>
    <row r="90" spans="1:76" s="481" customFormat="1" ht="12">
      <c r="A90" s="476"/>
      <c r="B90" s="874"/>
      <c r="C90" s="875"/>
      <c r="D90" s="875"/>
      <c r="E90" s="875"/>
      <c r="F90" s="875"/>
      <c r="G90" s="875"/>
      <c r="H90" s="875"/>
      <c r="I90" s="875"/>
      <c r="J90" s="875"/>
      <c r="K90" s="875"/>
      <c r="L90" s="875"/>
      <c r="M90" s="875"/>
      <c r="N90" s="875"/>
      <c r="O90" s="875"/>
      <c r="P90" s="875"/>
      <c r="Q90" s="875"/>
      <c r="R90" s="875"/>
      <c r="S90" s="875"/>
      <c r="T90" s="875"/>
      <c r="U90" s="875"/>
      <c r="V90" s="876"/>
      <c r="W90" s="489"/>
      <c r="X90" s="484"/>
      <c r="Y90" s="492"/>
      <c r="Z90" s="492"/>
      <c r="AA90" s="492"/>
      <c r="AB90" s="493" t="s">
        <v>341</v>
      </c>
      <c r="AC90" s="494" t="str">
        <f>IF($BF$16&lt;&gt;"","Tomador",IF($BI$16&lt;&gt;"","Tomador/Ag. Promotor","Tomador/Ag.Promotor ou Tomador "))</f>
        <v>Tomador</v>
      </c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5"/>
      <c r="AO90" s="495"/>
      <c r="AP90" s="487"/>
      <c r="AQ90" s="480"/>
      <c r="AR90" s="480"/>
      <c r="AS90" s="480"/>
      <c r="AT90" s="480"/>
      <c r="AU90" s="480"/>
      <c r="AV90" s="480"/>
      <c r="AW90" s="480"/>
      <c r="AX90" s="496" t="s">
        <v>342</v>
      </c>
      <c r="AY90" s="496"/>
      <c r="AZ90" s="496"/>
      <c r="BA90" s="496"/>
      <c r="BB90" s="496"/>
      <c r="BC90" s="496"/>
      <c r="BD90" s="496"/>
      <c r="BE90" s="496"/>
      <c r="BF90" s="496"/>
      <c r="BG90" s="496"/>
      <c r="BH90" s="496"/>
      <c r="BI90" s="496"/>
      <c r="BJ90" s="496"/>
      <c r="BK90" s="496"/>
      <c r="BL90" s="496"/>
      <c r="BM90" s="394"/>
      <c r="BN90" s="394"/>
      <c r="BO90" s="476"/>
      <c r="BR90" s="511"/>
      <c r="BS90" s="511"/>
      <c r="BT90" s="511"/>
      <c r="BU90" s="511"/>
      <c r="BW90" s="482"/>
      <c r="BX90" s="482"/>
    </row>
    <row r="91" spans="1:68" ht="12">
      <c r="A91" s="392"/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4"/>
      <c r="X91" s="394"/>
      <c r="Y91" s="497" t="s">
        <v>343</v>
      </c>
      <c r="Z91" s="497"/>
      <c r="AA91" s="861" t="s">
        <v>344</v>
      </c>
      <c r="AB91" s="861"/>
      <c r="AC91" s="861"/>
      <c r="AD91" s="861"/>
      <c r="AE91" s="861"/>
      <c r="AF91" s="861"/>
      <c r="AG91" s="861"/>
      <c r="AH91" s="861"/>
      <c r="AI91" s="861"/>
      <c r="AJ91" s="861"/>
      <c r="AK91" s="861"/>
      <c r="AL91" s="861"/>
      <c r="AM91" s="861"/>
      <c r="AN91" s="861"/>
      <c r="AO91" s="861"/>
      <c r="AP91" s="861"/>
      <c r="AQ91" s="393"/>
      <c r="AR91" s="393"/>
      <c r="AS91" s="393"/>
      <c r="AT91" s="393"/>
      <c r="AU91" s="393"/>
      <c r="AV91" s="393"/>
      <c r="AW91" s="393"/>
      <c r="AX91" s="497" t="s">
        <v>343</v>
      </c>
      <c r="AY91" s="497"/>
      <c r="AZ91" s="498"/>
      <c r="BA91" s="861" t="s">
        <v>345</v>
      </c>
      <c r="BB91" s="861"/>
      <c r="BC91" s="861"/>
      <c r="BD91" s="861"/>
      <c r="BE91" s="861"/>
      <c r="BF91" s="861"/>
      <c r="BG91" s="861"/>
      <c r="BH91" s="861"/>
      <c r="BI91" s="861"/>
      <c r="BJ91" s="861"/>
      <c r="BK91" s="861"/>
      <c r="BL91" s="861"/>
      <c r="BM91" s="861"/>
      <c r="BN91" s="861"/>
      <c r="BO91" s="499"/>
      <c r="BP91" s="500"/>
    </row>
    <row r="92" spans="1:68" ht="12">
      <c r="A92" s="392"/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497" t="s">
        <v>346</v>
      </c>
      <c r="Z92" s="497"/>
      <c r="AA92" s="861" t="s">
        <v>347</v>
      </c>
      <c r="AB92" s="861"/>
      <c r="AC92" s="861"/>
      <c r="AD92" s="861"/>
      <c r="AE92" s="861"/>
      <c r="AF92" s="861"/>
      <c r="AG92" s="861"/>
      <c r="AH92" s="861"/>
      <c r="AI92" s="861"/>
      <c r="AJ92" s="861"/>
      <c r="AK92" s="861"/>
      <c r="AL92" s="861"/>
      <c r="AM92" s="861"/>
      <c r="AN92" s="861"/>
      <c r="AO92" s="861"/>
      <c r="AP92" s="861"/>
      <c r="AQ92" s="393"/>
      <c r="AR92" s="393"/>
      <c r="AS92" s="393"/>
      <c r="AT92" s="393"/>
      <c r="AU92" s="393"/>
      <c r="AV92" s="393"/>
      <c r="AW92" s="393"/>
      <c r="AX92" s="497" t="s">
        <v>348</v>
      </c>
      <c r="AY92" s="497"/>
      <c r="AZ92" s="498"/>
      <c r="BA92" s="498"/>
      <c r="BB92" s="861" t="s">
        <v>349</v>
      </c>
      <c r="BC92" s="861"/>
      <c r="BD92" s="861"/>
      <c r="BE92" s="861"/>
      <c r="BF92" s="861"/>
      <c r="BG92" s="861"/>
      <c r="BH92" s="861"/>
      <c r="BI92" s="861"/>
      <c r="BJ92" s="861"/>
      <c r="BK92" s="861"/>
      <c r="BL92" s="861"/>
      <c r="BM92" s="861"/>
      <c r="BN92" s="861"/>
      <c r="BO92" s="499"/>
      <c r="BP92" s="500"/>
    </row>
    <row r="93" spans="1:68" ht="12">
      <c r="A93" s="392"/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497" t="s">
        <v>350</v>
      </c>
      <c r="Z93" s="497"/>
      <c r="AA93" s="861" t="s">
        <v>351</v>
      </c>
      <c r="AB93" s="861"/>
      <c r="AC93" s="861"/>
      <c r="AD93" s="861"/>
      <c r="AE93" s="861"/>
      <c r="AF93" s="861"/>
      <c r="AG93" s="861"/>
      <c r="AH93" s="861"/>
      <c r="AI93" s="861"/>
      <c r="AJ93" s="861"/>
      <c r="AK93" s="861"/>
      <c r="AL93" s="861"/>
      <c r="AM93" s="861"/>
      <c r="AN93" s="861"/>
      <c r="AO93" s="861"/>
      <c r="AP93" s="861"/>
      <c r="AQ93" s="393"/>
      <c r="AR93" s="393"/>
      <c r="AS93" s="393"/>
      <c r="AT93" s="393"/>
      <c r="AU93" s="393"/>
      <c r="AV93" s="393"/>
      <c r="AW93" s="393"/>
      <c r="AX93" s="497" t="s">
        <v>352</v>
      </c>
      <c r="AY93" s="497"/>
      <c r="AZ93" s="498"/>
      <c r="BA93" s="498"/>
      <c r="BB93" s="861" t="s">
        <v>353</v>
      </c>
      <c r="BC93" s="861"/>
      <c r="BD93" s="861"/>
      <c r="BE93" s="861"/>
      <c r="BF93" s="861"/>
      <c r="BG93" s="861"/>
      <c r="BH93" s="861"/>
      <c r="BI93" s="861"/>
      <c r="BJ93" s="861"/>
      <c r="BK93" s="861"/>
      <c r="BL93" s="861"/>
      <c r="BM93" s="861"/>
      <c r="BN93" s="861"/>
      <c r="BO93" s="499"/>
      <c r="BP93" s="500"/>
    </row>
    <row r="94" spans="2:66" ht="12"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</row>
    <row r="95" spans="2:66" ht="12"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393"/>
      <c r="AQ95" s="393"/>
      <c r="AR95" s="393"/>
      <c r="AS95" s="393"/>
      <c r="AT95" s="393"/>
      <c r="AU95" s="393"/>
      <c r="AV95" s="393"/>
      <c r="AW95" s="393"/>
      <c r="AX95" s="393"/>
      <c r="AY95" s="393"/>
      <c r="AZ95" s="393"/>
      <c r="BA95" s="393"/>
      <c r="BB95" s="393"/>
      <c r="BC95" s="393"/>
      <c r="BD95" s="393"/>
      <c r="BE95" s="393"/>
      <c r="BF95" s="393"/>
      <c r="BG95" s="393"/>
      <c r="BH95" s="393"/>
      <c r="BI95" s="393"/>
      <c r="BJ95" s="393"/>
      <c r="BK95" s="393"/>
      <c r="BL95" s="393"/>
      <c r="BM95" s="393"/>
      <c r="BN95" s="393"/>
    </row>
    <row r="96" spans="2:66" ht="12"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  <c r="AN96" s="393"/>
      <c r="AO96" s="393"/>
      <c r="AP96" s="393"/>
      <c r="AQ96" s="393"/>
      <c r="AR96" s="393"/>
      <c r="AS96" s="393"/>
      <c r="AT96" s="393"/>
      <c r="AU96" s="393"/>
      <c r="AV96" s="393"/>
      <c r="AW96" s="393"/>
      <c r="AX96" s="393"/>
      <c r="AY96" s="393"/>
      <c r="AZ96" s="393"/>
      <c r="BA96" s="393"/>
      <c r="BB96" s="393"/>
      <c r="BC96" s="393"/>
      <c r="BD96" s="393"/>
      <c r="BE96" s="393"/>
      <c r="BF96" s="393"/>
      <c r="BG96" s="393"/>
      <c r="BH96" s="393"/>
      <c r="BI96" s="393"/>
      <c r="BJ96" s="393"/>
      <c r="BK96" s="393"/>
      <c r="BL96" s="393"/>
      <c r="BM96" s="393"/>
      <c r="BN96" s="393"/>
    </row>
    <row r="97" spans="2:66" ht="12"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  <c r="AN97" s="393"/>
      <c r="AO97" s="393"/>
      <c r="AP97" s="393"/>
      <c r="AQ97" s="393"/>
      <c r="AR97" s="393"/>
      <c r="AS97" s="393"/>
      <c r="AT97" s="393"/>
      <c r="AU97" s="393"/>
      <c r="AV97" s="393"/>
      <c r="AW97" s="393"/>
      <c r="AX97" s="393"/>
      <c r="AY97" s="393"/>
      <c r="AZ97" s="393"/>
      <c r="BA97" s="393"/>
      <c r="BB97" s="393"/>
      <c r="BC97" s="393"/>
      <c r="BD97" s="393"/>
      <c r="BE97" s="393"/>
      <c r="BF97" s="393"/>
      <c r="BG97" s="393"/>
      <c r="BH97" s="393"/>
      <c r="BI97" s="393"/>
      <c r="BJ97" s="393"/>
      <c r="BK97" s="393"/>
      <c r="BL97" s="393"/>
      <c r="BM97" s="393"/>
      <c r="BN97" s="393"/>
    </row>
    <row r="98" spans="2:66" ht="12"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  <c r="AO98" s="393"/>
      <c r="AP98" s="393"/>
      <c r="AQ98" s="393"/>
      <c r="AR98" s="393"/>
      <c r="AS98" s="393" t="s">
        <v>43</v>
      </c>
      <c r="AT98" s="393"/>
      <c r="AU98" s="393"/>
      <c r="AV98" s="393"/>
      <c r="AW98" s="393"/>
      <c r="AX98" s="393"/>
      <c r="AY98" s="393"/>
      <c r="AZ98" s="393"/>
      <c r="BA98" s="393"/>
      <c r="BB98" s="393"/>
      <c r="BC98" s="393"/>
      <c r="BD98" s="393"/>
      <c r="BE98" s="393"/>
      <c r="BF98" s="393"/>
      <c r="BG98" s="393"/>
      <c r="BH98" s="393"/>
      <c r="BI98" s="393"/>
      <c r="BJ98" s="393"/>
      <c r="BK98" s="393"/>
      <c r="BL98" s="393"/>
      <c r="BM98" s="393"/>
      <c r="BN98" s="393"/>
    </row>
    <row r="99" spans="2:66" ht="12"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393"/>
      <c r="AQ99" s="393"/>
      <c r="AR99" s="393"/>
      <c r="AS99" s="393"/>
      <c r="AT99" s="393"/>
      <c r="AU99" s="393"/>
      <c r="AV99" s="393"/>
      <c r="AW99" s="393"/>
      <c r="AX99" s="393"/>
      <c r="AY99" s="393"/>
      <c r="AZ99" s="393"/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3"/>
      <c r="BN99" s="393"/>
    </row>
    <row r="100" spans="2:66" ht="12"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W100" s="393"/>
      <c r="AX100" s="393"/>
      <c r="AY100" s="393"/>
      <c r="AZ100" s="393"/>
      <c r="BA100" s="393"/>
      <c r="BB100" s="393"/>
      <c r="BC100" s="393"/>
      <c r="BD100" s="393"/>
      <c r="BE100" s="393"/>
      <c r="BF100" s="393"/>
      <c r="BG100" s="393"/>
      <c r="BH100" s="393"/>
      <c r="BI100" s="393"/>
      <c r="BJ100" s="393"/>
      <c r="BK100" s="393"/>
      <c r="BL100" s="393"/>
      <c r="BM100" s="393"/>
      <c r="BN100" s="393"/>
    </row>
    <row r="101" spans="2:66" ht="12"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  <c r="AJ101" s="393"/>
      <c r="AK101" s="393"/>
      <c r="AL101" s="393"/>
      <c r="AM101" s="393"/>
      <c r="AN101" s="393"/>
      <c r="AO101" s="393"/>
      <c r="AP101" s="393"/>
      <c r="AQ101" s="393"/>
      <c r="AR101" s="393"/>
      <c r="AS101" s="393"/>
      <c r="AT101" s="393"/>
      <c r="AU101" s="393"/>
      <c r="AV101" s="393"/>
      <c r="AW101" s="393"/>
      <c r="AX101" s="393"/>
      <c r="AY101" s="393"/>
      <c r="AZ101" s="393"/>
      <c r="BA101" s="393"/>
      <c r="BB101" s="393"/>
      <c r="BC101" s="393"/>
      <c r="BD101" s="393"/>
      <c r="BE101" s="393"/>
      <c r="BF101" s="393"/>
      <c r="BG101" s="393"/>
      <c r="BH101" s="393"/>
      <c r="BI101" s="393"/>
      <c r="BJ101" s="393"/>
      <c r="BK101" s="393"/>
      <c r="BL101" s="393"/>
      <c r="BM101" s="393"/>
      <c r="BN101" s="393"/>
    </row>
    <row r="102" spans="2:66" ht="12"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3"/>
      <c r="AM102" s="393"/>
      <c r="AN102" s="393"/>
      <c r="AO102" s="393"/>
      <c r="AP102" s="393"/>
      <c r="AQ102" s="393"/>
      <c r="AR102" s="393"/>
      <c r="AS102" s="393"/>
      <c r="AT102" s="393"/>
      <c r="AU102" s="393"/>
      <c r="AV102" s="393"/>
      <c r="AW102" s="393"/>
      <c r="AX102" s="393"/>
      <c r="AY102" s="393"/>
      <c r="AZ102" s="393"/>
      <c r="BA102" s="393"/>
      <c r="BB102" s="393"/>
      <c r="BC102" s="393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3"/>
    </row>
    <row r="103" spans="2:66" ht="12"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  <c r="AH103" s="393"/>
      <c r="AI103" s="393"/>
      <c r="AJ103" s="393"/>
      <c r="AK103" s="393"/>
      <c r="AL103" s="393"/>
      <c r="AM103" s="393"/>
      <c r="AN103" s="393"/>
      <c r="AO103" s="393"/>
      <c r="AP103" s="393"/>
      <c r="AQ103" s="393"/>
      <c r="AR103" s="393"/>
      <c r="AS103" s="393"/>
      <c r="AT103" s="393"/>
      <c r="AU103" s="393"/>
      <c r="AV103" s="393"/>
      <c r="AW103" s="393"/>
      <c r="AX103" s="393"/>
      <c r="AY103" s="393"/>
      <c r="AZ103" s="393"/>
      <c r="BA103" s="393"/>
      <c r="BB103" s="393"/>
      <c r="BC103" s="393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3"/>
    </row>
    <row r="104" spans="2:66" ht="12"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  <c r="AO104" s="393"/>
      <c r="AP104" s="393"/>
      <c r="AQ104" s="393"/>
      <c r="AR104" s="393"/>
      <c r="AS104" s="393"/>
      <c r="AT104" s="393"/>
      <c r="AU104" s="393"/>
      <c r="AV104" s="393"/>
      <c r="AW104" s="393"/>
      <c r="AX104" s="393"/>
      <c r="AY104" s="393"/>
      <c r="AZ104" s="393"/>
      <c r="BA104" s="393"/>
      <c r="BB104" s="393"/>
      <c r="BC104" s="393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3"/>
    </row>
    <row r="105" spans="2:66" ht="12"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  <c r="AJ105" s="393"/>
      <c r="AK105" s="393"/>
      <c r="AL105" s="393"/>
      <c r="AM105" s="393"/>
      <c r="AN105" s="393"/>
      <c r="AO105" s="393"/>
      <c r="AP105" s="393"/>
      <c r="AQ105" s="393"/>
      <c r="AR105" s="393"/>
      <c r="AS105" s="393"/>
      <c r="AT105" s="393"/>
      <c r="AU105" s="393"/>
      <c r="AV105" s="393"/>
      <c r="AW105" s="393"/>
      <c r="AX105" s="393"/>
      <c r="AY105" s="393"/>
      <c r="AZ105" s="393"/>
      <c r="BA105" s="393"/>
      <c r="BB105" s="393"/>
      <c r="BC105" s="393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3"/>
    </row>
    <row r="106" spans="2:66" ht="12"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3"/>
      <c r="AX106" s="393"/>
      <c r="AY106" s="393"/>
      <c r="AZ106" s="393"/>
      <c r="BA106" s="393"/>
      <c r="BB106" s="393"/>
      <c r="BC106" s="393"/>
      <c r="BD106" s="393"/>
      <c r="BE106" s="393"/>
      <c r="BF106" s="393"/>
      <c r="BG106" s="393"/>
      <c r="BH106" s="393"/>
      <c r="BI106" s="393"/>
      <c r="BJ106" s="393"/>
      <c r="BK106" s="393"/>
      <c r="BL106" s="393"/>
      <c r="BM106" s="393"/>
      <c r="BN106" s="393"/>
    </row>
    <row r="107" spans="2:66" ht="12"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3"/>
      <c r="AK107" s="393"/>
      <c r="AL107" s="393"/>
      <c r="AM107" s="393"/>
      <c r="AN107" s="393"/>
      <c r="AO107" s="393"/>
      <c r="AP107" s="393"/>
      <c r="AQ107" s="393"/>
      <c r="AR107" s="393"/>
      <c r="AS107" s="393"/>
      <c r="AT107" s="393"/>
      <c r="AU107" s="393"/>
      <c r="AV107" s="393"/>
      <c r="AW107" s="393"/>
      <c r="AX107" s="393"/>
      <c r="AY107" s="393"/>
      <c r="AZ107" s="393"/>
      <c r="BA107" s="393"/>
      <c r="BB107" s="393"/>
      <c r="BC107" s="393"/>
      <c r="BD107" s="393"/>
      <c r="BE107" s="393"/>
      <c r="BF107" s="393"/>
      <c r="BG107" s="393"/>
      <c r="BH107" s="393"/>
      <c r="BI107" s="393"/>
      <c r="BJ107" s="393"/>
      <c r="BK107" s="393"/>
      <c r="BL107" s="393"/>
      <c r="BM107" s="393"/>
      <c r="BN107" s="393"/>
    </row>
  </sheetData>
  <sheetProtection password="D28B" sheet="1"/>
  <mergeCells count="748">
    <mergeCell ref="BE80:BI80"/>
    <mergeCell ref="AA93:AP93"/>
    <mergeCell ref="BB93:BN93"/>
    <mergeCell ref="BJ80:BN80"/>
    <mergeCell ref="B83:BN84"/>
    <mergeCell ref="B86:V90"/>
    <mergeCell ref="AA91:AP91"/>
    <mergeCell ref="BA91:BN91"/>
    <mergeCell ref="AA92:AP92"/>
    <mergeCell ref="BB92:BN92"/>
    <mergeCell ref="Y79:AB79"/>
    <mergeCell ref="B80:C80"/>
    <mergeCell ref="D80:AB80"/>
    <mergeCell ref="AC80:AE80"/>
    <mergeCell ref="AF80:AJ80"/>
    <mergeCell ref="AZ80:BD80"/>
    <mergeCell ref="AK78:AO78"/>
    <mergeCell ref="AP78:AT78"/>
    <mergeCell ref="AU78:AY78"/>
    <mergeCell ref="AZ78:BD78"/>
    <mergeCell ref="BE78:BI78"/>
    <mergeCell ref="BJ78:BN78"/>
    <mergeCell ref="B78:C78"/>
    <mergeCell ref="D78:V78"/>
    <mergeCell ref="W78:X78"/>
    <mergeCell ref="Y78:AB78"/>
    <mergeCell ref="AC78:AE78"/>
    <mergeCell ref="AF78:AJ78"/>
    <mergeCell ref="AK77:AO77"/>
    <mergeCell ref="AP77:AT77"/>
    <mergeCell ref="AU77:AY77"/>
    <mergeCell ref="AZ77:BD77"/>
    <mergeCell ref="BE77:BI77"/>
    <mergeCell ref="BJ77:BN77"/>
    <mergeCell ref="B77:C77"/>
    <mergeCell ref="D77:V77"/>
    <mergeCell ref="W77:X77"/>
    <mergeCell ref="Y77:AA77"/>
    <mergeCell ref="AB77:AE77"/>
    <mergeCell ref="AF77:AJ77"/>
    <mergeCell ref="AK76:AO76"/>
    <mergeCell ref="AP76:AT76"/>
    <mergeCell ref="AU76:AY76"/>
    <mergeCell ref="AZ76:BD76"/>
    <mergeCell ref="BE76:BI76"/>
    <mergeCell ref="BJ76:BN76"/>
    <mergeCell ref="B76:C76"/>
    <mergeCell ref="D76:V76"/>
    <mergeCell ref="W76:X76"/>
    <mergeCell ref="Y76:AA76"/>
    <mergeCell ref="AB76:AE76"/>
    <mergeCell ref="AF76:AJ76"/>
    <mergeCell ref="AK75:AO75"/>
    <mergeCell ref="AP75:AT75"/>
    <mergeCell ref="AU75:AY75"/>
    <mergeCell ref="AZ75:BD75"/>
    <mergeCell ref="BE75:BI75"/>
    <mergeCell ref="BJ75:BN75"/>
    <mergeCell ref="B75:C75"/>
    <mergeCell ref="D75:V75"/>
    <mergeCell ref="W75:X75"/>
    <mergeCell ref="Y75:AA75"/>
    <mergeCell ref="AB75:AE75"/>
    <mergeCell ref="AF75:AJ75"/>
    <mergeCell ref="AK74:AO74"/>
    <mergeCell ref="AP74:AT74"/>
    <mergeCell ref="AU74:AY74"/>
    <mergeCell ref="AZ74:BD74"/>
    <mergeCell ref="BE74:BI74"/>
    <mergeCell ref="BJ74:BN74"/>
    <mergeCell ref="B74:C74"/>
    <mergeCell ref="D74:V74"/>
    <mergeCell ref="W74:X74"/>
    <mergeCell ref="Y74:AA74"/>
    <mergeCell ref="AB74:AE74"/>
    <mergeCell ref="AF74:AJ74"/>
    <mergeCell ref="AK73:AO73"/>
    <mergeCell ref="AP73:AT73"/>
    <mergeCell ref="AU73:AY73"/>
    <mergeCell ref="AZ73:BD73"/>
    <mergeCell ref="BE73:BI73"/>
    <mergeCell ref="BJ73:BN73"/>
    <mergeCell ref="B73:C73"/>
    <mergeCell ref="D73:V73"/>
    <mergeCell ref="W73:X73"/>
    <mergeCell ref="Y73:AA73"/>
    <mergeCell ref="AB73:AE73"/>
    <mergeCell ref="AF73:AJ73"/>
    <mergeCell ref="AK72:AO72"/>
    <mergeCell ref="AP72:AT72"/>
    <mergeCell ref="AU72:AY72"/>
    <mergeCell ref="AZ72:BD72"/>
    <mergeCell ref="BE72:BI72"/>
    <mergeCell ref="BJ72:BN72"/>
    <mergeCell ref="B72:C72"/>
    <mergeCell ref="D72:V72"/>
    <mergeCell ref="W72:X72"/>
    <mergeCell ref="Y72:AA72"/>
    <mergeCell ref="AB72:AE72"/>
    <mergeCell ref="AF72:AJ72"/>
    <mergeCell ref="AK71:AO71"/>
    <mergeCell ref="AP71:AT71"/>
    <mergeCell ref="AU71:AY71"/>
    <mergeCell ref="AZ71:BD71"/>
    <mergeCell ref="BE71:BI71"/>
    <mergeCell ref="BJ71:BN71"/>
    <mergeCell ref="B71:C71"/>
    <mergeCell ref="D71:V71"/>
    <mergeCell ref="W71:X71"/>
    <mergeCell ref="Y71:AA71"/>
    <mergeCell ref="AB71:AE71"/>
    <mergeCell ref="AF71:AJ71"/>
    <mergeCell ref="AK70:AO70"/>
    <mergeCell ref="AP70:AT70"/>
    <mergeCell ref="AU70:AY70"/>
    <mergeCell ref="AZ70:BD70"/>
    <mergeCell ref="BE70:BI70"/>
    <mergeCell ref="BJ70:BN70"/>
    <mergeCell ref="B70:C70"/>
    <mergeCell ref="D70:V70"/>
    <mergeCell ref="W70:X70"/>
    <mergeCell ref="Y70:AA70"/>
    <mergeCell ref="AB70:AE70"/>
    <mergeCell ref="AF70:AJ70"/>
    <mergeCell ref="AK69:AO69"/>
    <mergeCell ref="AP69:AT69"/>
    <mergeCell ref="AU69:AY69"/>
    <mergeCell ref="AZ69:BD69"/>
    <mergeCell ref="BE69:BI69"/>
    <mergeCell ref="BJ69:BN69"/>
    <mergeCell ref="B69:C69"/>
    <mergeCell ref="D69:V69"/>
    <mergeCell ref="W69:X69"/>
    <mergeCell ref="Y69:AA69"/>
    <mergeCell ref="AB69:AE69"/>
    <mergeCell ref="AF69:AJ69"/>
    <mergeCell ref="AK68:AO68"/>
    <mergeCell ref="AP68:AT68"/>
    <mergeCell ref="AU68:AY68"/>
    <mergeCell ref="AZ68:BD68"/>
    <mergeCell ref="BE68:BI68"/>
    <mergeCell ref="BJ68:BN68"/>
    <mergeCell ref="B68:C68"/>
    <mergeCell ref="D68:V68"/>
    <mergeCell ref="W68:X68"/>
    <mergeCell ref="Y68:AA68"/>
    <mergeCell ref="AB68:AE68"/>
    <mergeCell ref="AF68:AJ68"/>
    <mergeCell ref="AK67:AO67"/>
    <mergeCell ref="AP67:AT67"/>
    <mergeCell ref="AU67:AY67"/>
    <mergeCell ref="AZ67:BD67"/>
    <mergeCell ref="BE67:BI67"/>
    <mergeCell ref="BJ67:BN67"/>
    <mergeCell ref="B67:C67"/>
    <mergeCell ref="D67:V67"/>
    <mergeCell ref="W67:X67"/>
    <mergeCell ref="Y67:AA67"/>
    <mergeCell ref="AB67:AE67"/>
    <mergeCell ref="AF67:AJ67"/>
    <mergeCell ref="AK66:AO66"/>
    <mergeCell ref="AP66:AT66"/>
    <mergeCell ref="AU66:AY66"/>
    <mergeCell ref="AZ66:BD66"/>
    <mergeCell ref="BE66:BI66"/>
    <mergeCell ref="BJ66:BN66"/>
    <mergeCell ref="B66:C66"/>
    <mergeCell ref="D66:V66"/>
    <mergeCell ref="W66:X66"/>
    <mergeCell ref="Y66:AA66"/>
    <mergeCell ref="AB66:AE66"/>
    <mergeCell ref="AF66:AJ66"/>
    <mergeCell ref="AK65:AO65"/>
    <mergeCell ref="AP65:AT65"/>
    <mergeCell ref="AU65:AY65"/>
    <mergeCell ref="AZ65:BD65"/>
    <mergeCell ref="BE65:BI65"/>
    <mergeCell ref="BJ65:BN65"/>
    <mergeCell ref="B65:C65"/>
    <mergeCell ref="D65:V65"/>
    <mergeCell ref="W65:X65"/>
    <mergeCell ref="Y65:AA65"/>
    <mergeCell ref="AB65:AE65"/>
    <mergeCell ref="AF65:AJ65"/>
    <mergeCell ref="AK64:AO64"/>
    <mergeCell ref="AP64:AT64"/>
    <mergeCell ref="AU64:AY64"/>
    <mergeCell ref="AZ64:BD64"/>
    <mergeCell ref="BE64:BI64"/>
    <mergeCell ref="BJ64:BN64"/>
    <mergeCell ref="B64:C64"/>
    <mergeCell ref="D64:V64"/>
    <mergeCell ref="W64:X64"/>
    <mergeCell ref="Y64:AA64"/>
    <mergeCell ref="AB64:AE64"/>
    <mergeCell ref="AF64:AJ64"/>
    <mergeCell ref="AK63:AO63"/>
    <mergeCell ref="AP63:AT63"/>
    <mergeCell ref="AU63:AY63"/>
    <mergeCell ref="AZ63:BD63"/>
    <mergeCell ref="BE63:BI63"/>
    <mergeCell ref="BJ63:BN63"/>
    <mergeCell ref="B63:C63"/>
    <mergeCell ref="D63:V63"/>
    <mergeCell ref="W63:X63"/>
    <mergeCell ref="Y63:AA63"/>
    <mergeCell ref="AB63:AE63"/>
    <mergeCell ref="AF63:AJ63"/>
    <mergeCell ref="AK62:AO62"/>
    <mergeCell ref="AP62:AT62"/>
    <mergeCell ref="AU62:AY62"/>
    <mergeCell ref="AZ62:BD62"/>
    <mergeCell ref="BE62:BI62"/>
    <mergeCell ref="BJ62:BN62"/>
    <mergeCell ref="B62:C62"/>
    <mergeCell ref="D62:V62"/>
    <mergeCell ref="W62:X62"/>
    <mergeCell ref="Y62:AA62"/>
    <mergeCell ref="AB62:AE62"/>
    <mergeCell ref="AF62:AJ62"/>
    <mergeCell ref="AK61:AO61"/>
    <mergeCell ref="AP61:AT61"/>
    <mergeCell ref="AU61:AY61"/>
    <mergeCell ref="AZ61:BD61"/>
    <mergeCell ref="BE61:BI61"/>
    <mergeCell ref="BJ61:BN61"/>
    <mergeCell ref="B61:C61"/>
    <mergeCell ref="D61:V61"/>
    <mergeCell ref="W61:X61"/>
    <mergeCell ref="Y61:AA61"/>
    <mergeCell ref="AB61:AE61"/>
    <mergeCell ref="AF61:AJ61"/>
    <mergeCell ref="AK60:AO60"/>
    <mergeCell ref="AP60:AT60"/>
    <mergeCell ref="AU60:AY60"/>
    <mergeCell ref="AZ60:BD60"/>
    <mergeCell ref="BE60:BI60"/>
    <mergeCell ref="BJ60:BN60"/>
    <mergeCell ref="B60:C60"/>
    <mergeCell ref="D60:V60"/>
    <mergeCell ref="W60:X60"/>
    <mergeCell ref="Y60:AA60"/>
    <mergeCell ref="AB60:AE60"/>
    <mergeCell ref="AF60:AJ60"/>
    <mergeCell ref="AK59:AO59"/>
    <mergeCell ref="AP59:AT59"/>
    <mergeCell ref="AU59:AY59"/>
    <mergeCell ref="AZ59:BD59"/>
    <mergeCell ref="BE59:BI59"/>
    <mergeCell ref="BJ59:BN59"/>
    <mergeCell ref="B59:C59"/>
    <mergeCell ref="D59:V59"/>
    <mergeCell ref="W59:X59"/>
    <mergeCell ref="Y59:AA59"/>
    <mergeCell ref="AB59:AE59"/>
    <mergeCell ref="AF59:AJ59"/>
    <mergeCell ref="AK58:AO58"/>
    <mergeCell ref="AP58:AT58"/>
    <mergeCell ref="AU58:AY58"/>
    <mergeCell ref="AZ58:BD58"/>
    <mergeCell ref="BE58:BI58"/>
    <mergeCell ref="BJ58:BN58"/>
    <mergeCell ref="B58:C58"/>
    <mergeCell ref="D58:V58"/>
    <mergeCell ref="W58:X58"/>
    <mergeCell ref="Y58:AA58"/>
    <mergeCell ref="AB58:AE58"/>
    <mergeCell ref="AF58:AJ58"/>
    <mergeCell ref="AK57:AO57"/>
    <mergeCell ref="AP57:AT57"/>
    <mergeCell ref="AU57:AY57"/>
    <mergeCell ref="AZ57:BD57"/>
    <mergeCell ref="BE57:BI57"/>
    <mergeCell ref="BJ57:BN57"/>
    <mergeCell ref="B57:C57"/>
    <mergeCell ref="D57:V57"/>
    <mergeCell ref="W57:X57"/>
    <mergeCell ref="Y57:AA57"/>
    <mergeCell ref="AB57:AE57"/>
    <mergeCell ref="AF57:AJ57"/>
    <mergeCell ref="AK56:AO56"/>
    <mergeCell ref="AP56:AT56"/>
    <mergeCell ref="AU56:AY56"/>
    <mergeCell ref="AZ56:BD56"/>
    <mergeCell ref="BE56:BI56"/>
    <mergeCell ref="BJ56:BN56"/>
    <mergeCell ref="B56:C56"/>
    <mergeCell ref="D56:V56"/>
    <mergeCell ref="W56:X56"/>
    <mergeCell ref="Y56:AA56"/>
    <mergeCell ref="AB56:AE56"/>
    <mergeCell ref="AF56:AJ56"/>
    <mergeCell ref="AK55:AO55"/>
    <mergeCell ref="AP55:AT55"/>
    <mergeCell ref="AU55:AY55"/>
    <mergeCell ref="AZ55:BD55"/>
    <mergeCell ref="BE55:BI55"/>
    <mergeCell ref="BJ55:BN55"/>
    <mergeCell ref="B55:C55"/>
    <mergeCell ref="D55:V55"/>
    <mergeCell ref="W55:X55"/>
    <mergeCell ref="Y55:AA55"/>
    <mergeCell ref="AB55:AE55"/>
    <mergeCell ref="AF55:AJ55"/>
    <mergeCell ref="AK54:AO54"/>
    <mergeCell ref="AP54:AT54"/>
    <mergeCell ref="AU54:AY54"/>
    <mergeCell ref="AZ54:BD54"/>
    <mergeCell ref="BE54:BI54"/>
    <mergeCell ref="BJ54:BN54"/>
    <mergeCell ref="B54:C54"/>
    <mergeCell ref="D54:V54"/>
    <mergeCell ref="W54:X54"/>
    <mergeCell ref="Y54:AA54"/>
    <mergeCell ref="AB54:AE54"/>
    <mergeCell ref="AF54:AJ54"/>
    <mergeCell ref="AK53:AO53"/>
    <mergeCell ref="AP53:AT53"/>
    <mergeCell ref="AU53:AY53"/>
    <mergeCell ref="AZ53:BD53"/>
    <mergeCell ref="BE53:BI53"/>
    <mergeCell ref="BJ53:BN53"/>
    <mergeCell ref="B53:C53"/>
    <mergeCell ref="D53:V53"/>
    <mergeCell ref="W53:X53"/>
    <mergeCell ref="Y53:AA53"/>
    <mergeCell ref="AB53:AE53"/>
    <mergeCell ref="AF53:AJ53"/>
    <mergeCell ref="AK52:AO52"/>
    <mergeCell ref="AP52:AT52"/>
    <mergeCell ref="AU52:AY52"/>
    <mergeCell ref="AZ52:BD52"/>
    <mergeCell ref="BE52:BI52"/>
    <mergeCell ref="BJ52:BN52"/>
    <mergeCell ref="B52:C52"/>
    <mergeCell ref="D52:V52"/>
    <mergeCell ref="W52:X52"/>
    <mergeCell ref="Y52:AA52"/>
    <mergeCell ref="AB52:AE52"/>
    <mergeCell ref="AF52:AJ52"/>
    <mergeCell ref="AK51:AO51"/>
    <mergeCell ref="AP51:AT51"/>
    <mergeCell ref="AU51:AY51"/>
    <mergeCell ref="AZ51:BD51"/>
    <mergeCell ref="BE51:BI51"/>
    <mergeCell ref="BJ51:BN51"/>
    <mergeCell ref="B51:C51"/>
    <mergeCell ref="D51:V51"/>
    <mergeCell ref="W51:X51"/>
    <mergeCell ref="Y51:AA51"/>
    <mergeCell ref="AB51:AE51"/>
    <mergeCell ref="AF51:AJ51"/>
    <mergeCell ref="AK50:AO50"/>
    <mergeCell ref="AP50:AT50"/>
    <mergeCell ref="AU50:AY50"/>
    <mergeCell ref="AZ50:BD50"/>
    <mergeCell ref="BE50:BI50"/>
    <mergeCell ref="BJ50:BN50"/>
    <mergeCell ref="B50:C50"/>
    <mergeCell ref="D50:V50"/>
    <mergeCell ref="W50:X50"/>
    <mergeCell ref="Y50:AA50"/>
    <mergeCell ref="AB50:AE50"/>
    <mergeCell ref="AF50:AJ50"/>
    <mergeCell ref="AK49:AO49"/>
    <mergeCell ref="AP49:AT49"/>
    <mergeCell ref="AU49:AY49"/>
    <mergeCell ref="AZ49:BD49"/>
    <mergeCell ref="BE49:BI49"/>
    <mergeCell ref="BJ49:BN49"/>
    <mergeCell ref="B49:C49"/>
    <mergeCell ref="D49:V49"/>
    <mergeCell ref="W49:X49"/>
    <mergeCell ref="Y49:AA49"/>
    <mergeCell ref="AB49:AE49"/>
    <mergeCell ref="AF49:AJ49"/>
    <mergeCell ref="AK48:AO48"/>
    <mergeCell ref="AP48:AT48"/>
    <mergeCell ref="AU48:AY48"/>
    <mergeCell ref="AZ48:BD48"/>
    <mergeCell ref="BE48:BI48"/>
    <mergeCell ref="BJ48:BN48"/>
    <mergeCell ref="B48:C48"/>
    <mergeCell ref="D48:V48"/>
    <mergeCell ref="W48:X48"/>
    <mergeCell ref="Y48:AA48"/>
    <mergeCell ref="AB48:AE48"/>
    <mergeCell ref="AF48:AJ48"/>
    <mergeCell ref="AK47:AO47"/>
    <mergeCell ref="AP47:AT47"/>
    <mergeCell ref="AU47:AY47"/>
    <mergeCell ref="AZ47:BD47"/>
    <mergeCell ref="BE47:BI47"/>
    <mergeCell ref="BJ47:BN47"/>
    <mergeCell ref="B47:C47"/>
    <mergeCell ref="D47:V47"/>
    <mergeCell ref="W47:X47"/>
    <mergeCell ref="Y47:AA47"/>
    <mergeCell ref="AB47:AE47"/>
    <mergeCell ref="AF47:AJ47"/>
    <mergeCell ref="AK46:AO46"/>
    <mergeCell ref="AP46:AT46"/>
    <mergeCell ref="AU46:AY46"/>
    <mergeCell ref="AZ46:BD46"/>
    <mergeCell ref="BE46:BI46"/>
    <mergeCell ref="BJ46:BN46"/>
    <mergeCell ref="B46:C46"/>
    <mergeCell ref="D46:V46"/>
    <mergeCell ref="W46:X46"/>
    <mergeCell ref="Y46:AA46"/>
    <mergeCell ref="AB46:AE46"/>
    <mergeCell ref="AF46:AJ46"/>
    <mergeCell ref="AK45:AO45"/>
    <mergeCell ref="AP45:AT45"/>
    <mergeCell ref="AU45:AY45"/>
    <mergeCell ref="AZ45:BD45"/>
    <mergeCell ref="BE45:BI45"/>
    <mergeCell ref="BJ45:BN45"/>
    <mergeCell ref="B45:C45"/>
    <mergeCell ref="D45:V45"/>
    <mergeCell ref="W45:X45"/>
    <mergeCell ref="Y45:AA45"/>
    <mergeCell ref="AB45:AE45"/>
    <mergeCell ref="AF45:AJ45"/>
    <mergeCell ref="AK44:AO44"/>
    <mergeCell ref="AP44:AT44"/>
    <mergeCell ref="AU44:AY44"/>
    <mergeCell ref="AZ44:BD44"/>
    <mergeCell ref="BE44:BI44"/>
    <mergeCell ref="BJ44:BN44"/>
    <mergeCell ref="B44:C44"/>
    <mergeCell ref="D44:V44"/>
    <mergeCell ref="W44:X44"/>
    <mergeCell ref="Y44:AA44"/>
    <mergeCell ref="AB44:AE44"/>
    <mergeCell ref="AF44:AJ44"/>
    <mergeCell ref="AK43:AO43"/>
    <mergeCell ref="AP43:AT43"/>
    <mergeCell ref="AU43:AY43"/>
    <mergeCell ref="AZ43:BD43"/>
    <mergeCell ref="BE43:BI43"/>
    <mergeCell ref="BJ43:BN43"/>
    <mergeCell ref="B43:C43"/>
    <mergeCell ref="D43:V43"/>
    <mergeCell ref="W43:X43"/>
    <mergeCell ref="Y43:AA43"/>
    <mergeCell ref="AB43:AE43"/>
    <mergeCell ref="AF43:AJ43"/>
    <mergeCell ref="AK42:AO42"/>
    <mergeCell ref="AP42:AT42"/>
    <mergeCell ref="AU42:AY42"/>
    <mergeCell ref="AZ42:BD42"/>
    <mergeCell ref="BE42:BI42"/>
    <mergeCell ref="BJ42:BN42"/>
    <mergeCell ref="B42:C42"/>
    <mergeCell ref="D42:V42"/>
    <mergeCell ref="W42:X42"/>
    <mergeCell ref="Y42:AA42"/>
    <mergeCell ref="AB42:AE42"/>
    <mergeCell ref="AF42:AJ42"/>
    <mergeCell ref="AK41:AO41"/>
    <mergeCell ref="AP41:AT41"/>
    <mergeCell ref="AU41:AY41"/>
    <mergeCell ref="AZ41:BD41"/>
    <mergeCell ref="BE41:BI41"/>
    <mergeCell ref="BJ41:BN41"/>
    <mergeCell ref="B41:C41"/>
    <mergeCell ref="D41:V41"/>
    <mergeCell ref="W41:X41"/>
    <mergeCell ref="Y41:AA41"/>
    <mergeCell ref="AB41:AE41"/>
    <mergeCell ref="AF41:AJ41"/>
    <mergeCell ref="AK40:AO40"/>
    <mergeCell ref="AP40:AT40"/>
    <mergeCell ref="AU40:AY40"/>
    <mergeCell ref="AZ40:BD40"/>
    <mergeCell ref="BE40:BI40"/>
    <mergeCell ref="BJ40:BN40"/>
    <mergeCell ref="B40:C40"/>
    <mergeCell ref="D40:V40"/>
    <mergeCell ref="W40:X40"/>
    <mergeCell ref="Y40:AA40"/>
    <mergeCell ref="AB40:AE40"/>
    <mergeCell ref="AF40:AJ40"/>
    <mergeCell ref="AK39:AO39"/>
    <mergeCell ref="AP39:AT39"/>
    <mergeCell ref="AU39:AY39"/>
    <mergeCell ref="AZ39:BD39"/>
    <mergeCell ref="BE39:BI39"/>
    <mergeCell ref="BJ39:BN39"/>
    <mergeCell ref="B39:C39"/>
    <mergeCell ref="D39:V39"/>
    <mergeCell ref="W39:X39"/>
    <mergeCell ref="Y39:AA39"/>
    <mergeCell ref="AB39:AE39"/>
    <mergeCell ref="AF39:AJ39"/>
    <mergeCell ref="AK38:AO38"/>
    <mergeCell ref="AP38:AT38"/>
    <mergeCell ref="AU38:AY38"/>
    <mergeCell ref="AZ38:BD38"/>
    <mergeCell ref="BE38:BI38"/>
    <mergeCell ref="BJ38:BN38"/>
    <mergeCell ref="B38:C38"/>
    <mergeCell ref="D38:V38"/>
    <mergeCell ref="W38:X38"/>
    <mergeCell ref="Y38:AA38"/>
    <mergeCell ref="AB38:AE38"/>
    <mergeCell ref="AF38:AJ38"/>
    <mergeCell ref="AK37:AO37"/>
    <mergeCell ref="AP37:AT37"/>
    <mergeCell ref="AU37:AY37"/>
    <mergeCell ref="AZ37:BD37"/>
    <mergeCell ref="BE37:BI37"/>
    <mergeCell ref="BJ37:BN37"/>
    <mergeCell ref="B37:C37"/>
    <mergeCell ref="D37:V37"/>
    <mergeCell ref="W37:X37"/>
    <mergeCell ref="Y37:AA37"/>
    <mergeCell ref="AB37:AE37"/>
    <mergeCell ref="AF37:AJ37"/>
    <mergeCell ref="AK36:AO36"/>
    <mergeCell ref="AP36:AT36"/>
    <mergeCell ref="AU36:AY36"/>
    <mergeCell ref="AZ36:BD36"/>
    <mergeCell ref="BE36:BI36"/>
    <mergeCell ref="BJ36:BN36"/>
    <mergeCell ref="B36:C36"/>
    <mergeCell ref="D36:V36"/>
    <mergeCell ref="W36:X36"/>
    <mergeCell ref="Y36:AA36"/>
    <mergeCell ref="AB36:AE36"/>
    <mergeCell ref="AF36:AJ36"/>
    <mergeCell ref="AK35:AO35"/>
    <mergeCell ref="AP35:AT35"/>
    <mergeCell ref="AU35:AY35"/>
    <mergeCell ref="AZ35:BD35"/>
    <mergeCell ref="BE35:BI35"/>
    <mergeCell ref="BJ35:BN35"/>
    <mergeCell ref="B35:C35"/>
    <mergeCell ref="D35:V35"/>
    <mergeCell ref="W35:X35"/>
    <mergeCell ref="Y35:AA35"/>
    <mergeCell ref="AB35:AE35"/>
    <mergeCell ref="AF35:AJ35"/>
    <mergeCell ref="AK34:AO34"/>
    <mergeCell ref="AP34:AT34"/>
    <mergeCell ref="AU34:AY34"/>
    <mergeCell ref="AZ34:BD34"/>
    <mergeCell ref="BE34:BI34"/>
    <mergeCell ref="BJ34:BN34"/>
    <mergeCell ref="B34:C34"/>
    <mergeCell ref="D34:V34"/>
    <mergeCell ref="W34:X34"/>
    <mergeCell ref="Y34:AA34"/>
    <mergeCell ref="AB34:AE34"/>
    <mergeCell ref="AF34:AJ34"/>
    <mergeCell ref="AK33:AO33"/>
    <mergeCell ref="AP33:AT33"/>
    <mergeCell ref="AU33:AY33"/>
    <mergeCell ref="AZ33:BD33"/>
    <mergeCell ref="BE33:BI33"/>
    <mergeCell ref="BJ33:BN33"/>
    <mergeCell ref="B33:C33"/>
    <mergeCell ref="D33:V33"/>
    <mergeCell ref="W33:X33"/>
    <mergeCell ref="Y33:AA33"/>
    <mergeCell ref="AB33:AE33"/>
    <mergeCell ref="AF33:AJ33"/>
    <mergeCell ref="AK32:AO32"/>
    <mergeCell ref="AP32:AT32"/>
    <mergeCell ref="AU32:AY32"/>
    <mergeCell ref="AZ32:BD32"/>
    <mergeCell ref="BE32:BI32"/>
    <mergeCell ref="BJ32:BN32"/>
    <mergeCell ref="B32:C32"/>
    <mergeCell ref="D32:V32"/>
    <mergeCell ref="W32:X32"/>
    <mergeCell ref="Y32:AA32"/>
    <mergeCell ref="AB32:AE32"/>
    <mergeCell ref="AF32:AJ32"/>
    <mergeCell ref="AK31:AO31"/>
    <mergeCell ref="AP31:AT31"/>
    <mergeCell ref="AU31:AY31"/>
    <mergeCell ref="AZ31:BD31"/>
    <mergeCell ref="BE31:BI31"/>
    <mergeCell ref="BJ31:BN31"/>
    <mergeCell ref="B31:C31"/>
    <mergeCell ref="D31:V31"/>
    <mergeCell ref="W31:X31"/>
    <mergeCell ref="Y31:AA31"/>
    <mergeCell ref="AB31:AE31"/>
    <mergeCell ref="AF31:AJ31"/>
    <mergeCell ref="AK30:AO30"/>
    <mergeCell ref="AP30:AT30"/>
    <mergeCell ref="AU30:AY30"/>
    <mergeCell ref="AZ30:BD30"/>
    <mergeCell ref="BE30:BI30"/>
    <mergeCell ref="BJ30:BN30"/>
    <mergeCell ref="B30:C30"/>
    <mergeCell ref="D30:V30"/>
    <mergeCell ref="W30:X30"/>
    <mergeCell ref="Y30:AA30"/>
    <mergeCell ref="AB30:AE30"/>
    <mergeCell ref="AF30:AJ30"/>
    <mergeCell ref="AK29:AO29"/>
    <mergeCell ref="AP29:AT29"/>
    <mergeCell ref="AU29:AY29"/>
    <mergeCell ref="AZ29:BD29"/>
    <mergeCell ref="BE29:BI29"/>
    <mergeCell ref="BJ29:BN29"/>
    <mergeCell ref="B29:C29"/>
    <mergeCell ref="D29:V29"/>
    <mergeCell ref="W29:X29"/>
    <mergeCell ref="Y29:AA29"/>
    <mergeCell ref="AB29:AE29"/>
    <mergeCell ref="AF29:AJ29"/>
    <mergeCell ref="AK28:AO28"/>
    <mergeCell ref="AP28:AT28"/>
    <mergeCell ref="AU28:AY28"/>
    <mergeCell ref="AZ28:BD28"/>
    <mergeCell ref="BE28:BI28"/>
    <mergeCell ref="BJ28:BN28"/>
    <mergeCell ref="B28:C28"/>
    <mergeCell ref="D28:V28"/>
    <mergeCell ref="W28:X28"/>
    <mergeCell ref="Y28:AA28"/>
    <mergeCell ref="AB28:AE28"/>
    <mergeCell ref="AF28:AJ28"/>
    <mergeCell ref="AK27:AO27"/>
    <mergeCell ref="AP27:AT27"/>
    <mergeCell ref="AU27:AY27"/>
    <mergeCell ref="AZ27:BD27"/>
    <mergeCell ref="BE27:BI27"/>
    <mergeCell ref="BJ27:BN27"/>
    <mergeCell ref="B27:C27"/>
    <mergeCell ref="D27:V27"/>
    <mergeCell ref="W27:X27"/>
    <mergeCell ref="Y27:AA27"/>
    <mergeCell ref="AB27:AE27"/>
    <mergeCell ref="AF27:AJ27"/>
    <mergeCell ref="AK26:AO26"/>
    <mergeCell ref="AP26:AT26"/>
    <mergeCell ref="AU26:AY26"/>
    <mergeCell ref="AZ26:BD26"/>
    <mergeCell ref="BE26:BI26"/>
    <mergeCell ref="BJ26:BN26"/>
    <mergeCell ref="B26:C26"/>
    <mergeCell ref="D26:V26"/>
    <mergeCell ref="W26:X26"/>
    <mergeCell ref="Y26:AA26"/>
    <mergeCell ref="AB26:AE26"/>
    <mergeCell ref="AF26:AJ26"/>
    <mergeCell ref="AK25:AO25"/>
    <mergeCell ref="AP25:AT25"/>
    <mergeCell ref="AU25:AY25"/>
    <mergeCell ref="AZ25:BD25"/>
    <mergeCell ref="BE25:BI25"/>
    <mergeCell ref="BJ25:BN25"/>
    <mergeCell ref="B25:C25"/>
    <mergeCell ref="D25:V25"/>
    <mergeCell ref="W25:X25"/>
    <mergeCell ref="Y25:AA25"/>
    <mergeCell ref="AB25:AE25"/>
    <mergeCell ref="AF25:AJ25"/>
    <mergeCell ref="AK24:AO24"/>
    <mergeCell ref="AP24:AT24"/>
    <mergeCell ref="AU24:AY24"/>
    <mergeCell ref="AZ24:BD24"/>
    <mergeCell ref="BE24:BI24"/>
    <mergeCell ref="BJ24:BN24"/>
    <mergeCell ref="B24:C24"/>
    <mergeCell ref="D24:V24"/>
    <mergeCell ref="W24:X24"/>
    <mergeCell ref="Y24:AA24"/>
    <mergeCell ref="AB24:AE24"/>
    <mergeCell ref="AF24:AJ24"/>
    <mergeCell ref="AK23:AO23"/>
    <mergeCell ref="AP23:AT23"/>
    <mergeCell ref="AU23:AY23"/>
    <mergeCell ref="AZ23:BD23"/>
    <mergeCell ref="BE23:BI23"/>
    <mergeCell ref="BJ23:BN23"/>
    <mergeCell ref="B23:C23"/>
    <mergeCell ref="D23:V23"/>
    <mergeCell ref="W23:X23"/>
    <mergeCell ref="Y23:AA23"/>
    <mergeCell ref="AB23:AE23"/>
    <mergeCell ref="AF23:AJ23"/>
    <mergeCell ref="AK22:AO22"/>
    <mergeCell ref="AP22:AT22"/>
    <mergeCell ref="AU22:AY22"/>
    <mergeCell ref="AZ22:BD22"/>
    <mergeCell ref="BE22:BI22"/>
    <mergeCell ref="BJ22:BN22"/>
    <mergeCell ref="B22:C22"/>
    <mergeCell ref="D22:V22"/>
    <mergeCell ref="W22:X22"/>
    <mergeCell ref="Y22:AA22"/>
    <mergeCell ref="AB22:AE22"/>
    <mergeCell ref="AF22:AJ22"/>
    <mergeCell ref="AK21:AO21"/>
    <mergeCell ref="AP21:AT21"/>
    <mergeCell ref="AU21:AY21"/>
    <mergeCell ref="AZ21:BD21"/>
    <mergeCell ref="BE21:BI21"/>
    <mergeCell ref="BJ21:BN21"/>
    <mergeCell ref="B21:C21"/>
    <mergeCell ref="D21:V21"/>
    <mergeCell ref="W21:X21"/>
    <mergeCell ref="Y21:AA21"/>
    <mergeCell ref="AB21:AE21"/>
    <mergeCell ref="AF21:AJ21"/>
    <mergeCell ref="AZ19:BD19"/>
    <mergeCell ref="BE19:BI19"/>
    <mergeCell ref="BJ19:BN19"/>
    <mergeCell ref="AF20:AJ20"/>
    <mergeCell ref="AK20:AO20"/>
    <mergeCell ref="AP20:AT20"/>
    <mergeCell ref="AU20:AY20"/>
    <mergeCell ref="AZ20:BD20"/>
    <mergeCell ref="BE20:BI20"/>
    <mergeCell ref="BJ20:BN20"/>
    <mergeCell ref="B19:V19"/>
    <mergeCell ref="W19:X20"/>
    <mergeCell ref="AF19:AJ19"/>
    <mergeCell ref="AK19:AO19"/>
    <mergeCell ref="AP19:AT19"/>
    <mergeCell ref="AU19:AY19"/>
    <mergeCell ref="B7:R7"/>
    <mergeCell ref="B16:K16"/>
    <mergeCell ref="L16:Q16"/>
    <mergeCell ref="W18:AJ18"/>
    <mergeCell ref="AK18:AY18"/>
    <mergeCell ref="AZ18:BN18"/>
    <mergeCell ref="B10:F10"/>
    <mergeCell ref="J10:N10"/>
    <mergeCell ref="AQ10:AX10"/>
    <mergeCell ref="AZ10:BN10"/>
    <mergeCell ref="B13:K13"/>
    <mergeCell ref="L13:P13"/>
    <mergeCell ref="T13:AX13"/>
    <mergeCell ref="AZ13:BN13"/>
    <mergeCell ref="T7:Y7"/>
    <mergeCell ref="Z7:AD7"/>
    <mergeCell ref="AH7:AL7"/>
    <mergeCell ref="AP7:AT7"/>
    <mergeCell ref="AZ7:BI7"/>
    <mergeCell ref="BJ7:BN7"/>
  </mergeCells>
  <conditionalFormatting sqref="BE79:BI79 BE21:BI77">
    <cfRule type="expression" priority="12" dxfId="3" stopIfTrue="1">
      <formula>$BJ21&gt;$AF21</formula>
    </cfRule>
  </conditionalFormatting>
  <conditionalFormatting sqref="BJ79:BN79 BJ21:BN77">
    <cfRule type="cellIs" priority="11" dxfId="2" operator="equal" stopIfTrue="1">
      <formula>"ERRO"</formula>
    </cfRule>
  </conditionalFormatting>
  <conditionalFormatting sqref="BC16">
    <cfRule type="expression" priority="10" dxfId="0" stopIfTrue="1">
      <formula>$BB$16&lt;&gt;""</formula>
    </cfRule>
  </conditionalFormatting>
  <conditionalFormatting sqref="BF16">
    <cfRule type="expression" priority="9" dxfId="0" stopIfTrue="1">
      <formula>$BE$16&lt;&gt;""</formula>
    </cfRule>
  </conditionalFormatting>
  <conditionalFormatting sqref="BE79:BI79 BE21:BI77">
    <cfRule type="expression" priority="8" dxfId="3" stopIfTrue="1">
      <formula>$BJ21&gt;$AF21</formula>
    </cfRule>
  </conditionalFormatting>
  <conditionalFormatting sqref="BJ79:BN79 BJ21:BN77">
    <cfRule type="cellIs" priority="7" dxfId="2" operator="equal" stopIfTrue="1">
      <formula>"ERRO"</formula>
    </cfRule>
  </conditionalFormatting>
  <conditionalFormatting sqref="BC16">
    <cfRule type="expression" priority="6" dxfId="0" stopIfTrue="1">
      <formula>$BB$16&lt;&gt;""</formula>
    </cfRule>
  </conditionalFormatting>
  <conditionalFormatting sqref="BF16">
    <cfRule type="expression" priority="5" dxfId="0" stopIfTrue="1">
      <formula>$BE$16&lt;&gt;""</formula>
    </cfRule>
  </conditionalFormatting>
  <conditionalFormatting sqref="BE79:BI79 BE21:BI77">
    <cfRule type="expression" priority="4" dxfId="3" stopIfTrue="1">
      <formula>$BJ21&gt;$AF21</formula>
    </cfRule>
  </conditionalFormatting>
  <conditionalFormatting sqref="BJ79:BN79 BJ21:BN77">
    <cfRule type="cellIs" priority="3" dxfId="2" operator="equal" stopIfTrue="1">
      <formula>"ERRO"</formula>
    </cfRule>
  </conditionalFormatting>
  <conditionalFormatting sqref="BC16">
    <cfRule type="expression" priority="2" dxfId="0" stopIfTrue="1">
      <formula>$BB$16&lt;&gt;""</formula>
    </cfRule>
  </conditionalFormatting>
  <conditionalFormatting sqref="BF16">
    <cfRule type="expression" priority="1" dxfId="0" stopIfTrue="1">
      <formula>$BE$16&lt;&gt;""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6"/>
  <sheetViews>
    <sheetView showGridLines="0" showZeros="0" zoomScale="89" zoomScaleNormal="89" zoomScaleSheetLayoutView="100" zoomScalePageLayoutView="75" workbookViewId="0" topLeftCell="T1">
      <selection activeCell="A1" sqref="A1:S16384"/>
    </sheetView>
  </sheetViews>
  <sheetFormatPr defaultColWidth="9.140625" defaultRowHeight="12.75"/>
  <cols>
    <col min="1" max="1" width="5.421875" style="1" hidden="1" customWidth="1"/>
    <col min="2" max="2" width="10.28125" style="1" hidden="1" customWidth="1"/>
    <col min="3" max="3" width="43.57421875" style="1" hidden="1" customWidth="1"/>
    <col min="4" max="4" width="8.57421875" style="1" hidden="1" customWidth="1"/>
    <col min="5" max="5" width="12.57421875" style="1" hidden="1" customWidth="1"/>
    <col min="6" max="6" width="20.28125" style="1" hidden="1" customWidth="1"/>
    <col min="7" max="7" width="19.421875" style="1" hidden="1" customWidth="1"/>
    <col min="8" max="8" width="12.28125" style="4" hidden="1" customWidth="1"/>
    <col min="9" max="9" width="12.28125" style="1" hidden="1" customWidth="1"/>
    <col min="10" max="10" width="13.57421875" style="1" hidden="1" customWidth="1"/>
    <col min="11" max="11" width="12.28125" style="1" hidden="1" customWidth="1"/>
    <col min="12" max="12" width="12.00390625" style="1" hidden="1" customWidth="1"/>
    <col min="13" max="13" width="15.00390625" style="182" hidden="1" customWidth="1"/>
    <col min="14" max="15" width="8.140625" style="1" hidden="1" customWidth="1"/>
    <col min="16" max="16" width="13.28125" style="76" hidden="1" customWidth="1"/>
    <col min="17" max="17" width="16.57421875" style="91" hidden="1" customWidth="1"/>
    <col min="18" max="19" width="0" style="1" hidden="1" customWidth="1"/>
    <col min="20" max="16384" width="9.140625" style="1" customWidth="1"/>
  </cols>
  <sheetData>
    <row r="1" spans="1:12" ht="12.75">
      <c r="A1" s="77"/>
      <c r="B1" s="78"/>
      <c r="C1" s="78"/>
      <c r="D1" s="78"/>
      <c r="E1" s="78"/>
      <c r="F1" s="78"/>
      <c r="G1" s="78"/>
      <c r="H1" s="159"/>
      <c r="I1" s="78"/>
      <c r="J1" s="78"/>
      <c r="K1" s="78"/>
      <c r="L1" s="79"/>
    </row>
    <row r="2" spans="1:12" ht="20.25">
      <c r="A2" s="882" t="s">
        <v>183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4"/>
    </row>
    <row r="3" spans="1:12" ht="12.75">
      <c r="A3" s="885" t="s">
        <v>182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7"/>
    </row>
    <row r="4" spans="1:12" ht="12.75">
      <c r="A4" s="885" t="s">
        <v>201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7"/>
    </row>
    <row r="5" spans="1:12" ht="20.25" customHeight="1" thickBot="1">
      <c r="A5" s="81"/>
      <c r="B5" s="82"/>
      <c r="C5" s="82"/>
      <c r="D5" s="82"/>
      <c r="E5" s="82"/>
      <c r="F5" s="82"/>
      <c r="G5" s="82"/>
      <c r="H5" s="85"/>
      <c r="I5" s="82"/>
      <c r="J5" s="82"/>
      <c r="K5" s="82"/>
      <c r="L5" s="84"/>
    </row>
    <row r="6" ht="11.25" customHeight="1" thickBot="1"/>
    <row r="7" spans="1:17" s="4" customFormat="1" ht="16.5" thickBot="1">
      <c r="A7" s="877" t="s">
        <v>415</v>
      </c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9"/>
      <c r="M7" s="63"/>
      <c r="P7" s="62"/>
      <c r="Q7" s="92"/>
    </row>
    <row r="8" spans="1:17" s="4" customFormat="1" ht="4.5" customHeight="1" thickBot="1">
      <c r="A8" s="888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63"/>
      <c r="P8" s="62"/>
      <c r="Q8" s="92"/>
    </row>
    <row r="9" spans="1:17" s="4" customFormat="1" ht="19.5" customHeight="1" thickBot="1">
      <c r="A9" s="688" t="s">
        <v>416</v>
      </c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90"/>
      <c r="M9" s="63"/>
      <c r="P9" s="62"/>
      <c r="Q9" s="92"/>
    </row>
    <row r="10" spans="1:17" s="4" customFormat="1" ht="3.75" customHeight="1" thickBo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3"/>
      <c r="P10" s="62"/>
      <c r="Q10" s="92"/>
    </row>
    <row r="11" spans="1:17" s="4" customFormat="1" ht="15" customHeight="1">
      <c r="A11" s="691" t="s">
        <v>178</v>
      </c>
      <c r="B11" s="692"/>
      <c r="C11" s="692"/>
      <c r="D11" s="692"/>
      <c r="E11" s="692"/>
      <c r="F11" s="320"/>
      <c r="G11" s="320"/>
      <c r="H11" s="693" t="s">
        <v>200</v>
      </c>
      <c r="I11" s="694"/>
      <c r="J11" s="694"/>
      <c r="K11" s="694"/>
      <c r="L11" s="695"/>
      <c r="M11" s="63"/>
      <c r="P11" s="62"/>
      <c r="Q11" s="92"/>
    </row>
    <row r="12" spans="1:17" s="4" customFormat="1" ht="26.25" customHeight="1">
      <c r="A12" s="696" t="s">
        <v>234</v>
      </c>
      <c r="B12" s="697"/>
      <c r="C12" s="697"/>
      <c r="D12" s="697"/>
      <c r="E12" s="698"/>
      <c r="F12" s="321" t="s">
        <v>411</v>
      </c>
      <c r="G12" s="391">
        <f>K78</f>
        <v>493685.55644599994</v>
      </c>
      <c r="H12" s="699" t="s">
        <v>407</v>
      </c>
      <c r="I12" s="700"/>
      <c r="J12" s="700"/>
      <c r="K12" s="700"/>
      <c r="L12" s="701"/>
      <c r="M12" s="629"/>
      <c r="P12" s="62"/>
      <c r="Q12" s="92"/>
    </row>
    <row r="13" spans="1:17" s="4" customFormat="1" ht="24.75" customHeight="1">
      <c r="A13" s="696" t="s">
        <v>235</v>
      </c>
      <c r="B13" s="697"/>
      <c r="C13" s="697"/>
      <c r="D13" s="697"/>
      <c r="E13" s="698"/>
      <c r="F13" s="321" t="s">
        <v>412</v>
      </c>
      <c r="G13" s="391">
        <f>L78</f>
        <v>76402.30215399999</v>
      </c>
      <c r="H13" s="707" t="s">
        <v>408</v>
      </c>
      <c r="I13" s="703"/>
      <c r="J13" s="703"/>
      <c r="K13" s="703"/>
      <c r="L13" s="704"/>
      <c r="M13" s="63"/>
      <c r="P13" s="62"/>
      <c r="Q13" s="92"/>
    </row>
    <row r="14" spans="1:17" s="4" customFormat="1" ht="12.75">
      <c r="A14" s="696" t="s">
        <v>409</v>
      </c>
      <c r="B14" s="697"/>
      <c r="C14" s="697"/>
      <c r="D14" s="698"/>
      <c r="E14" s="699" t="s">
        <v>9</v>
      </c>
      <c r="F14" s="880"/>
      <c r="G14" s="880"/>
      <c r="H14" s="700"/>
      <c r="I14" s="700"/>
      <c r="J14" s="700"/>
      <c r="K14" s="700"/>
      <c r="L14" s="701"/>
      <c r="M14" s="63"/>
      <c r="P14" s="62"/>
      <c r="Q14" s="92"/>
    </row>
    <row r="15" spans="1:17" s="4" customFormat="1" ht="19.5" customHeight="1">
      <c r="A15" s="705" t="s">
        <v>60</v>
      </c>
      <c r="B15" s="706"/>
      <c r="C15" s="706"/>
      <c r="D15" s="707"/>
      <c r="E15" s="708" t="s">
        <v>6</v>
      </c>
      <c r="F15" s="356"/>
      <c r="G15" s="356"/>
      <c r="H15" s="710" t="s">
        <v>4</v>
      </c>
      <c r="I15" s="70" t="s">
        <v>19</v>
      </c>
      <c r="J15" s="70"/>
      <c r="K15" s="70"/>
      <c r="L15" s="71" t="s">
        <v>5</v>
      </c>
      <c r="M15" s="63"/>
      <c r="P15" s="62"/>
      <c r="Q15" s="92"/>
    </row>
    <row r="16" spans="1:17" s="4" customFormat="1" ht="19.5" customHeight="1" thickBot="1">
      <c r="A16" s="712" t="s">
        <v>410</v>
      </c>
      <c r="B16" s="713"/>
      <c r="C16" s="713"/>
      <c r="D16" s="714"/>
      <c r="E16" s="709"/>
      <c r="F16" s="357"/>
      <c r="G16" s="357"/>
      <c r="H16" s="711"/>
      <c r="I16" s="72" t="s">
        <v>7</v>
      </c>
      <c r="J16" s="72"/>
      <c r="K16" s="72"/>
      <c r="L16" s="73">
        <v>0.2204</v>
      </c>
      <c r="M16" s="63"/>
      <c r="P16" s="62"/>
      <c r="Q16" s="92"/>
    </row>
    <row r="17" spans="1:17" s="4" customFormat="1" ht="3.75" customHeight="1" thickBot="1">
      <c r="A17" s="716"/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63"/>
      <c r="P17" s="62"/>
      <c r="Q17" s="92"/>
    </row>
    <row r="18" spans="1:17" s="4" customFormat="1" ht="60" customHeight="1" thickBot="1">
      <c r="A18" s="138" t="s">
        <v>0</v>
      </c>
      <c r="B18" s="136" t="s">
        <v>3</v>
      </c>
      <c r="C18" s="69" t="s">
        <v>1</v>
      </c>
      <c r="D18" s="136" t="s">
        <v>2</v>
      </c>
      <c r="E18" s="359" t="s">
        <v>271</v>
      </c>
      <c r="F18" s="386" t="s">
        <v>362</v>
      </c>
      <c r="G18" s="382" t="s">
        <v>365</v>
      </c>
      <c r="H18" s="364" t="s">
        <v>10</v>
      </c>
      <c r="I18" s="74" t="s">
        <v>11</v>
      </c>
      <c r="J18" s="364" t="s">
        <v>273</v>
      </c>
      <c r="K18" s="376" t="s">
        <v>363</v>
      </c>
      <c r="L18" s="360" t="s">
        <v>364</v>
      </c>
      <c r="M18" s="63"/>
      <c r="P18" s="157" t="s">
        <v>45</v>
      </c>
      <c r="Q18" s="158" t="s">
        <v>81</v>
      </c>
    </row>
    <row r="19" spans="1:17" s="4" customFormat="1" ht="12.75">
      <c r="A19" s="195"/>
      <c r="B19" s="198"/>
      <c r="C19" s="166"/>
      <c r="D19" s="531"/>
      <c r="E19" s="374"/>
      <c r="F19" s="377"/>
      <c r="G19" s="532"/>
      <c r="H19" s="374"/>
      <c r="I19" s="370"/>
      <c r="J19" s="374"/>
      <c r="K19" s="377"/>
      <c r="L19" s="361"/>
      <c r="M19" s="63"/>
      <c r="P19" s="62"/>
      <c r="Q19" s="92"/>
    </row>
    <row r="20" spans="1:17" s="4" customFormat="1" ht="12.75">
      <c r="A20" s="533"/>
      <c r="B20" s="534"/>
      <c r="C20" s="533" t="s">
        <v>372</v>
      </c>
      <c r="D20" s="535"/>
      <c r="E20" s="536"/>
      <c r="F20" s="537"/>
      <c r="G20" s="538"/>
      <c r="H20" s="536"/>
      <c r="I20" s="539"/>
      <c r="J20" s="536"/>
      <c r="K20" s="537"/>
      <c r="L20" s="540"/>
      <c r="M20" s="63"/>
      <c r="P20" s="62"/>
      <c r="Q20" s="92"/>
    </row>
    <row r="21" spans="1:17" s="4" customFormat="1" ht="12.75">
      <c r="A21" s="196"/>
      <c r="B21" s="199"/>
      <c r="C21" s="167"/>
      <c r="D21" s="172"/>
      <c r="E21" s="365"/>
      <c r="F21" s="387"/>
      <c r="G21" s="178"/>
      <c r="H21" s="365"/>
      <c r="I21" s="506"/>
      <c r="J21" s="365"/>
      <c r="K21" s="387"/>
      <c r="L21" s="507"/>
      <c r="M21" s="63"/>
      <c r="P21" s="62"/>
      <c r="Q21" s="92"/>
    </row>
    <row r="22" spans="1:17" s="61" customFormat="1" ht="18" customHeight="1">
      <c r="A22" s="196">
        <v>1</v>
      </c>
      <c r="B22" s="199"/>
      <c r="C22" s="167" t="s">
        <v>20</v>
      </c>
      <c r="D22" s="172"/>
      <c r="E22" s="366"/>
      <c r="F22" s="378"/>
      <c r="G22" s="179"/>
      <c r="H22" s="366"/>
      <c r="I22" s="371"/>
      <c r="J22" s="366">
        <f>SUM(J23:J24)</f>
        <v>933.8249999999999</v>
      </c>
      <c r="K22" s="378">
        <f>SUM(K23:K24)</f>
        <v>933.8249999999999</v>
      </c>
      <c r="L22" s="362">
        <f>SUM(L23:L24)</f>
        <v>0</v>
      </c>
      <c r="M22" s="630"/>
      <c r="Q22" s="93"/>
    </row>
    <row r="23" spans="1:17" s="4" customFormat="1" ht="12.75">
      <c r="A23" s="137" t="s">
        <v>13</v>
      </c>
      <c r="B23" s="200" t="s">
        <v>368</v>
      </c>
      <c r="C23" s="168" t="s">
        <v>48</v>
      </c>
      <c r="D23" s="173" t="s">
        <v>12</v>
      </c>
      <c r="E23" s="383">
        <v>2.5</v>
      </c>
      <c r="F23" s="388">
        <f>' ÚLTIMA MEDIÇÃO - BM Nº5'!BR23</f>
        <v>2.5</v>
      </c>
      <c r="G23" s="358">
        <f>E23-F23</f>
        <v>0</v>
      </c>
      <c r="H23" s="367">
        <f>'PLANILHA DA PROPOSTA'!G29</f>
        <v>373.53</v>
      </c>
      <c r="I23" s="372">
        <f>'PLANILHA DA PROPOSTA'!G29</f>
        <v>373.53</v>
      </c>
      <c r="J23" s="367">
        <f>E23*I23</f>
        <v>933.8249999999999</v>
      </c>
      <c r="K23" s="379">
        <f>F23*I23</f>
        <v>933.8249999999999</v>
      </c>
      <c r="L23" s="181">
        <f>G23*I23</f>
        <v>0</v>
      </c>
      <c r="M23" s="63"/>
      <c r="P23" s="88">
        <f>'MEMÓRIA DE CÁLCULO'!I38</f>
        <v>0</v>
      </c>
      <c r="Q23" s="88">
        <f>E23-P23</f>
        <v>2.5</v>
      </c>
    </row>
    <row r="24" spans="1:17" s="4" customFormat="1" ht="12.75">
      <c r="A24" s="137"/>
      <c r="B24" s="200"/>
      <c r="C24" s="168"/>
      <c r="D24" s="173"/>
      <c r="E24" s="367"/>
      <c r="F24" s="388"/>
      <c r="G24" s="358"/>
      <c r="H24" s="367"/>
      <c r="I24" s="372"/>
      <c r="J24" s="367"/>
      <c r="K24" s="379"/>
      <c r="L24" s="181"/>
      <c r="M24" s="63"/>
      <c r="P24" s="88"/>
      <c r="Q24" s="88"/>
    </row>
    <row r="25" spans="1:17" s="61" customFormat="1" ht="12.75">
      <c r="A25" s="197">
        <v>2</v>
      </c>
      <c r="B25" s="201"/>
      <c r="C25" s="169" t="s">
        <v>30</v>
      </c>
      <c r="D25" s="174"/>
      <c r="E25" s="384"/>
      <c r="F25" s="388"/>
      <c r="G25" s="358"/>
      <c r="H25" s="367"/>
      <c r="I25" s="372"/>
      <c r="J25" s="384">
        <f>SUM(J26:J37)</f>
        <v>191652.3872</v>
      </c>
      <c r="K25" s="389">
        <f>SUM(K26:K37)</f>
        <v>154078.4418</v>
      </c>
      <c r="L25" s="375">
        <f>SUM(L26:L37)</f>
        <v>37573.9454</v>
      </c>
      <c r="M25" s="630"/>
      <c r="P25" s="88"/>
      <c r="Q25" s="88"/>
    </row>
    <row r="26" spans="1:17" s="4" customFormat="1" ht="45">
      <c r="A26" s="137" t="s">
        <v>14</v>
      </c>
      <c r="B26" s="200" t="s">
        <v>368</v>
      </c>
      <c r="C26" s="168" t="s">
        <v>249</v>
      </c>
      <c r="D26" s="164" t="s">
        <v>17</v>
      </c>
      <c r="E26" s="367">
        <v>719.28</v>
      </c>
      <c r="F26" s="388">
        <f>' ÚLTIMA MEDIÇÃO - BM Nº5'!BR26</f>
        <v>654.72</v>
      </c>
      <c r="G26" s="358">
        <f aca="true" t="shared" si="0" ref="G26:G75">E26-F26</f>
        <v>64.55999999999995</v>
      </c>
      <c r="H26" s="367">
        <f>'PLANILHA DA PROPOSTA'!F32</f>
        <v>3.25</v>
      </c>
      <c r="I26" s="372">
        <f>'PLANILHA DA PROPOSTA'!G32</f>
        <v>3.97</v>
      </c>
      <c r="J26" s="367">
        <f aca="true" t="shared" si="1" ref="J26:J37">E26*I26</f>
        <v>2855.5416</v>
      </c>
      <c r="K26" s="379">
        <f aca="true" t="shared" si="2" ref="K26:K37">F26*I26</f>
        <v>2599.2384</v>
      </c>
      <c r="L26" s="181">
        <f aca="true" t="shared" si="3" ref="L26:L37">G26*I26</f>
        <v>256.3031999999998</v>
      </c>
      <c r="M26" s="63"/>
      <c r="P26" s="88">
        <f>'MEMÓRIA DE CÁLCULO'!I42</f>
        <v>0</v>
      </c>
      <c r="Q26" s="88">
        <f aca="true" t="shared" si="4" ref="Q26:Q34">E26-P26</f>
        <v>719.28</v>
      </c>
    </row>
    <row r="27" spans="1:17" s="4" customFormat="1" ht="12.75">
      <c r="A27" s="137" t="s">
        <v>15</v>
      </c>
      <c r="B27" s="200" t="s">
        <v>368</v>
      </c>
      <c r="C27" s="168" t="s">
        <v>84</v>
      </c>
      <c r="D27" s="164" t="s">
        <v>12</v>
      </c>
      <c r="E27" s="367">
        <v>462</v>
      </c>
      <c r="F27" s="388">
        <f>' ÚLTIMA MEDIÇÃO - BM Nº5'!BR27</f>
        <v>421.8</v>
      </c>
      <c r="G27" s="358">
        <f t="shared" si="0"/>
        <v>40.19999999999999</v>
      </c>
      <c r="H27" s="367">
        <f>'PLANILHA DA PROPOSTA'!F33</f>
        <v>16.91</v>
      </c>
      <c r="I27" s="372">
        <f>'PLANILHA DA PROPOSTA'!G33</f>
        <v>20.64</v>
      </c>
      <c r="J27" s="367">
        <f t="shared" si="1"/>
        <v>9535.68</v>
      </c>
      <c r="K27" s="379">
        <f t="shared" si="2"/>
        <v>8705.952000000001</v>
      </c>
      <c r="L27" s="181">
        <f t="shared" si="3"/>
        <v>829.7279999999998</v>
      </c>
      <c r="M27" s="63"/>
      <c r="P27" s="88">
        <f>'MEMÓRIA DE CÁLCULO'!I43</f>
        <v>0</v>
      </c>
      <c r="Q27" s="88">
        <f t="shared" si="4"/>
        <v>462</v>
      </c>
    </row>
    <row r="28" spans="1:17" s="4" customFormat="1" ht="43.5" customHeight="1">
      <c r="A28" s="137" t="s">
        <v>16</v>
      </c>
      <c r="B28" s="200" t="s">
        <v>368</v>
      </c>
      <c r="C28" s="168" t="s">
        <v>155</v>
      </c>
      <c r="D28" s="164" t="s">
        <v>18</v>
      </c>
      <c r="E28" s="367">
        <v>258</v>
      </c>
      <c r="F28" s="388">
        <f>' ÚLTIMA MEDIÇÃO - BM Nº5'!BR28</f>
        <v>222.00000000000003</v>
      </c>
      <c r="G28" s="358">
        <f t="shared" si="0"/>
        <v>35.99999999999997</v>
      </c>
      <c r="H28" s="367">
        <f>'PLANILHA DA PROPOSTA'!F34</f>
        <v>64.93</v>
      </c>
      <c r="I28" s="372">
        <f>'PLANILHA DA PROPOSTA'!G34</f>
        <v>79.24</v>
      </c>
      <c r="J28" s="367">
        <f t="shared" si="1"/>
        <v>20443.92</v>
      </c>
      <c r="K28" s="379">
        <f t="shared" si="2"/>
        <v>17591.280000000002</v>
      </c>
      <c r="L28" s="181">
        <f t="shared" si="3"/>
        <v>2852.6399999999976</v>
      </c>
      <c r="M28" s="631"/>
      <c r="N28" s="97"/>
      <c r="O28" s="97"/>
      <c r="P28" s="88">
        <f>'MEMÓRIA DE CÁLCULO'!I44</f>
        <v>2092.9125</v>
      </c>
      <c r="Q28" s="88">
        <f t="shared" si="4"/>
        <v>-1834.9125</v>
      </c>
    </row>
    <row r="29" spans="1:17" s="4" customFormat="1" ht="57" customHeight="1">
      <c r="A29" s="137" t="s">
        <v>56</v>
      </c>
      <c r="B29" s="200" t="s">
        <v>368</v>
      </c>
      <c r="C29" s="168" t="s">
        <v>177</v>
      </c>
      <c r="D29" s="164" t="s">
        <v>18</v>
      </c>
      <c r="E29" s="367">
        <v>466</v>
      </c>
      <c r="F29" s="388">
        <f>' ÚLTIMA MEDIÇÃO - BM Nº5'!BR29</f>
        <v>454</v>
      </c>
      <c r="G29" s="358">
        <f t="shared" si="0"/>
        <v>12</v>
      </c>
      <c r="H29" s="367">
        <f>'PLANILHA DA PROPOSTA'!F35</f>
        <v>83.21</v>
      </c>
      <c r="I29" s="372">
        <f>'PLANILHA DA PROPOSTA'!G35</f>
        <v>101.55</v>
      </c>
      <c r="J29" s="367">
        <f t="shared" si="1"/>
        <v>47322.299999999996</v>
      </c>
      <c r="K29" s="379">
        <f t="shared" si="2"/>
        <v>46103.7</v>
      </c>
      <c r="L29" s="181">
        <f t="shared" si="3"/>
        <v>1218.6</v>
      </c>
      <c r="M29" s="631"/>
      <c r="N29" s="97"/>
      <c r="O29" s="97"/>
      <c r="P29" s="88">
        <f>'MEMÓRIA DE CÁLCULO'!I45</f>
        <v>0</v>
      </c>
      <c r="Q29" s="88">
        <f t="shared" si="4"/>
        <v>466</v>
      </c>
    </row>
    <row r="30" spans="1:17" s="4" customFormat="1" ht="55.5" customHeight="1">
      <c r="A30" s="137" t="s">
        <v>57</v>
      </c>
      <c r="B30" s="200" t="s">
        <v>368</v>
      </c>
      <c r="C30" s="168" t="s">
        <v>157</v>
      </c>
      <c r="D30" s="164" t="s">
        <v>18</v>
      </c>
      <c r="E30" s="367">
        <v>46</v>
      </c>
      <c r="F30" s="388">
        <f>' ÚLTIMA MEDIÇÃO - BM Nº5'!BR30</f>
        <v>27.000000000000004</v>
      </c>
      <c r="G30" s="358">
        <f t="shared" si="0"/>
        <v>18.999999999999996</v>
      </c>
      <c r="H30" s="367">
        <f>'PLANILHA DA PROPOSTA'!F36</f>
        <v>136.03</v>
      </c>
      <c r="I30" s="372">
        <f>'PLANILHA DA PROPOSTA'!G36</f>
        <v>166.01</v>
      </c>
      <c r="J30" s="367">
        <f t="shared" si="1"/>
        <v>7636.459999999999</v>
      </c>
      <c r="K30" s="379">
        <f t="shared" si="2"/>
        <v>4482.27</v>
      </c>
      <c r="L30" s="181">
        <f t="shared" si="3"/>
        <v>3154.189999999999</v>
      </c>
      <c r="M30" s="631"/>
      <c r="N30" s="97"/>
      <c r="O30" s="97"/>
      <c r="P30" s="88">
        <f>'MEMÓRIA DE CÁLCULO'!I46</f>
        <v>54.672000000000004</v>
      </c>
      <c r="Q30" s="88">
        <f t="shared" si="4"/>
        <v>-8.672000000000004</v>
      </c>
    </row>
    <row r="31" spans="1:17" s="4" customFormat="1" ht="22.5">
      <c r="A31" s="137" t="s">
        <v>61</v>
      </c>
      <c r="B31" s="200" t="s">
        <v>368</v>
      </c>
      <c r="C31" s="168" t="s">
        <v>86</v>
      </c>
      <c r="D31" s="173" t="s">
        <v>17</v>
      </c>
      <c r="E31" s="367">
        <v>629.52</v>
      </c>
      <c r="F31" s="388">
        <f>' ÚLTIMA MEDIÇÃO - BM Nº5'!BR31</f>
        <v>574.38</v>
      </c>
      <c r="G31" s="358">
        <f t="shared" si="0"/>
        <v>55.139999999999986</v>
      </c>
      <c r="H31" s="367">
        <f>'PLANILHA DA PROPOSTA'!F37</f>
        <v>22.56</v>
      </c>
      <c r="I31" s="372">
        <f>'PLANILHA DA PROPOSTA'!G37</f>
        <v>27.53</v>
      </c>
      <c r="J31" s="367">
        <f t="shared" si="1"/>
        <v>17330.6856</v>
      </c>
      <c r="K31" s="379">
        <f t="shared" si="2"/>
        <v>15812.681400000001</v>
      </c>
      <c r="L31" s="181">
        <f t="shared" si="3"/>
        <v>1518.0041999999996</v>
      </c>
      <c r="M31" s="63"/>
      <c r="P31" s="88">
        <f>'MEMÓRIA DE CÁLCULO'!I47</f>
        <v>0</v>
      </c>
      <c r="Q31" s="88">
        <f t="shared" si="4"/>
        <v>629.52</v>
      </c>
    </row>
    <row r="32" spans="1:17" s="4" customFormat="1" ht="45.75" customHeight="1">
      <c r="A32" s="137" t="s">
        <v>90</v>
      </c>
      <c r="B32" s="200" t="s">
        <v>368</v>
      </c>
      <c r="C32" s="168" t="s">
        <v>88</v>
      </c>
      <c r="D32" s="164" t="s">
        <v>26</v>
      </c>
      <c r="E32" s="367">
        <v>36</v>
      </c>
      <c r="F32" s="388">
        <f>' ÚLTIMA MEDIÇÃO - BM Nº5'!BR32</f>
        <v>14.999999999999998</v>
      </c>
      <c r="G32" s="358">
        <f t="shared" si="0"/>
        <v>21</v>
      </c>
      <c r="H32" s="367">
        <f>'PLANILHA DA PROPOSTA'!F38</f>
        <v>584.9</v>
      </c>
      <c r="I32" s="372">
        <f>'PLANILHA DA PROPOSTA'!G38</f>
        <v>713.81</v>
      </c>
      <c r="J32" s="367">
        <f t="shared" si="1"/>
        <v>25697.159999999996</v>
      </c>
      <c r="K32" s="379">
        <f t="shared" si="2"/>
        <v>10707.149999999998</v>
      </c>
      <c r="L32" s="181">
        <f t="shared" si="3"/>
        <v>14990.009999999998</v>
      </c>
      <c r="M32" s="63"/>
      <c r="P32" s="88">
        <f>'MEMÓRIA DE CÁLCULO'!I48</f>
        <v>2106.5805</v>
      </c>
      <c r="Q32" s="88">
        <f t="shared" si="4"/>
        <v>-2070.5805</v>
      </c>
    </row>
    <row r="33" spans="1:17" s="4" customFormat="1" ht="22.5">
      <c r="A33" s="137" t="s">
        <v>91</v>
      </c>
      <c r="B33" s="200" t="s">
        <v>368</v>
      </c>
      <c r="C33" s="168" t="s">
        <v>89</v>
      </c>
      <c r="D33" s="164" t="s">
        <v>26</v>
      </c>
      <c r="E33" s="367">
        <v>10</v>
      </c>
      <c r="F33" s="388">
        <f>' ÚLTIMA MEDIÇÃO - BM Nº5'!BR33</f>
        <v>5</v>
      </c>
      <c r="G33" s="358">
        <f t="shared" si="0"/>
        <v>5</v>
      </c>
      <c r="H33" s="367">
        <f>'PLANILHA DA PROPOSTA'!F39</f>
        <v>959.65</v>
      </c>
      <c r="I33" s="372">
        <f>'PLANILHA DA PROPOSTA'!G39</f>
        <v>1171.16</v>
      </c>
      <c r="J33" s="367">
        <f t="shared" si="1"/>
        <v>11711.6</v>
      </c>
      <c r="K33" s="379">
        <f t="shared" si="2"/>
        <v>5855.8</v>
      </c>
      <c r="L33" s="181">
        <f t="shared" si="3"/>
        <v>5855.8</v>
      </c>
      <c r="M33" s="62"/>
      <c r="N33" s="63"/>
      <c r="O33" s="63"/>
      <c r="P33" s="88">
        <f>'MEMÓRIA DE CÁLCULO'!I49</f>
        <v>0</v>
      </c>
      <c r="Q33" s="88">
        <f t="shared" si="4"/>
        <v>10</v>
      </c>
    </row>
    <row r="34" spans="1:17" s="4" customFormat="1" ht="22.5">
      <c r="A34" s="137" t="s">
        <v>92</v>
      </c>
      <c r="B34" s="200" t="s">
        <v>368</v>
      </c>
      <c r="C34" s="168" t="s">
        <v>158</v>
      </c>
      <c r="D34" s="164" t="s">
        <v>26</v>
      </c>
      <c r="E34" s="367">
        <v>4</v>
      </c>
      <c r="F34" s="388">
        <f>' ÚLTIMA MEDIÇÃO - BM Nº5'!BR34</f>
        <v>2</v>
      </c>
      <c r="G34" s="358">
        <f t="shared" si="0"/>
        <v>2</v>
      </c>
      <c r="H34" s="367">
        <f>'PLANILHA DA PROPOSTA'!F40</f>
        <v>1195.65</v>
      </c>
      <c r="I34" s="372">
        <f>'PLANILHA DA PROPOSTA'!G40</f>
        <v>1459.17</v>
      </c>
      <c r="J34" s="367">
        <f t="shared" si="1"/>
        <v>5836.68</v>
      </c>
      <c r="K34" s="379">
        <f t="shared" si="2"/>
        <v>2918.34</v>
      </c>
      <c r="L34" s="181">
        <f t="shared" si="3"/>
        <v>2918.34</v>
      </c>
      <c r="M34" s="63"/>
      <c r="P34" s="88">
        <f>'MEMÓRIA DE CÁLCULO'!I50</f>
        <v>3159.87075</v>
      </c>
      <c r="Q34" s="88">
        <f t="shared" si="4"/>
        <v>-3155.87075</v>
      </c>
    </row>
    <row r="35" spans="1:17" s="4" customFormat="1" ht="33.75">
      <c r="A35" s="137" t="s">
        <v>130</v>
      </c>
      <c r="B35" s="200" t="s">
        <v>368</v>
      </c>
      <c r="C35" s="168" t="s">
        <v>253</v>
      </c>
      <c r="D35" s="164" t="s">
        <v>26</v>
      </c>
      <c r="E35" s="367">
        <v>14</v>
      </c>
      <c r="F35" s="388">
        <f>' ÚLTIMA MEDIÇÃO - BM Nº5'!BR35</f>
        <v>7</v>
      </c>
      <c r="G35" s="358">
        <f t="shared" si="0"/>
        <v>7</v>
      </c>
      <c r="H35" s="367">
        <f>'PLANILHA DA PROPOSTA'!F41</f>
        <v>350.29</v>
      </c>
      <c r="I35" s="372">
        <f>'PLANILHA DA PROPOSTA'!G41</f>
        <v>427.49</v>
      </c>
      <c r="J35" s="367">
        <f t="shared" si="1"/>
        <v>5984.860000000001</v>
      </c>
      <c r="K35" s="379">
        <f t="shared" si="2"/>
        <v>2992.4300000000003</v>
      </c>
      <c r="L35" s="181">
        <f t="shared" si="3"/>
        <v>2992.4300000000003</v>
      </c>
      <c r="M35" s="63"/>
      <c r="P35" s="88">
        <f>'MEMÓRIA DE CÁLCULO'!I51</f>
        <v>8426.322</v>
      </c>
      <c r="Q35" s="88">
        <f>E35-P35</f>
        <v>-8412.322</v>
      </c>
    </row>
    <row r="36" spans="1:17" s="4" customFormat="1" ht="33.75">
      <c r="A36" s="137" t="s">
        <v>176</v>
      </c>
      <c r="B36" s="200" t="s">
        <v>368</v>
      </c>
      <c r="C36" s="168" t="s">
        <v>49</v>
      </c>
      <c r="D36" s="164" t="s">
        <v>18</v>
      </c>
      <c r="E36" s="367">
        <v>30</v>
      </c>
      <c r="F36" s="388">
        <f>' ÚLTIMA MEDIÇÃO - BM Nº5'!BR36</f>
        <v>0</v>
      </c>
      <c r="G36" s="358">
        <f t="shared" si="0"/>
        <v>30</v>
      </c>
      <c r="H36" s="367">
        <f>'PLANILHA DA PROPOSTA'!F42</f>
        <v>26.98</v>
      </c>
      <c r="I36" s="372">
        <f>'PLANILHA DA PROPOSTA'!G42</f>
        <v>32.93</v>
      </c>
      <c r="J36" s="367">
        <f t="shared" si="1"/>
        <v>987.9</v>
      </c>
      <c r="K36" s="379">
        <f t="shared" si="2"/>
        <v>0</v>
      </c>
      <c r="L36" s="181">
        <f t="shared" si="3"/>
        <v>987.9</v>
      </c>
      <c r="M36" s="62">
        <f>K89</f>
        <v>0</v>
      </c>
      <c r="N36" s="63">
        <f>M36/I36</f>
        <v>0</v>
      </c>
      <c r="O36" s="63"/>
      <c r="P36" s="88">
        <f>'MEMÓRIA DE CÁLCULO'!I52</f>
        <v>1685.2644</v>
      </c>
      <c r="Q36" s="88">
        <f>E36-P36</f>
        <v>-1655.2644</v>
      </c>
    </row>
    <row r="37" spans="1:17" s="4" customFormat="1" ht="22.5">
      <c r="A37" s="137" t="s">
        <v>252</v>
      </c>
      <c r="B37" s="200" t="s">
        <v>368</v>
      </c>
      <c r="C37" s="168" t="s">
        <v>66</v>
      </c>
      <c r="D37" s="164" t="s">
        <v>18</v>
      </c>
      <c r="E37" s="367">
        <v>840.5</v>
      </c>
      <c r="F37" s="388">
        <f>' ÚLTIMA MEDIÇÃO - BM Nº5'!BR37</f>
        <v>840.5</v>
      </c>
      <c r="G37" s="358">
        <f t="shared" si="0"/>
        <v>0</v>
      </c>
      <c r="H37" s="367">
        <f>'PLANILHA DA PROPOSTA'!F43</f>
        <v>35.4</v>
      </c>
      <c r="I37" s="372">
        <f>'PLANILHA DA PROPOSTA'!G43</f>
        <v>43.2</v>
      </c>
      <c r="J37" s="367">
        <f t="shared" si="1"/>
        <v>36309.600000000006</v>
      </c>
      <c r="K37" s="379">
        <f t="shared" si="2"/>
        <v>36309.600000000006</v>
      </c>
      <c r="L37" s="181">
        <f t="shared" si="3"/>
        <v>0</v>
      </c>
      <c r="M37" s="63"/>
      <c r="P37" s="88">
        <f>'MEMÓRIA DE CÁLCULO'!I53</f>
        <v>10516.049856000001</v>
      </c>
      <c r="Q37" s="88">
        <f>E37-P37</f>
        <v>-9675.549856000001</v>
      </c>
    </row>
    <row r="38" spans="1:17" s="4" customFormat="1" ht="12.75">
      <c r="A38" s="137"/>
      <c r="B38" s="164"/>
      <c r="C38" s="168"/>
      <c r="D38" s="164"/>
      <c r="E38" s="367"/>
      <c r="F38" s="388"/>
      <c r="G38" s="358"/>
      <c r="H38" s="367"/>
      <c r="I38" s="372"/>
      <c r="J38" s="367"/>
      <c r="K38" s="379"/>
      <c r="L38" s="181"/>
      <c r="M38" s="63"/>
      <c r="P38" s="88"/>
      <c r="Q38" s="88"/>
    </row>
    <row r="39" spans="1:17" s="61" customFormat="1" ht="12.75">
      <c r="A39" s="197">
        <v>3</v>
      </c>
      <c r="B39" s="201"/>
      <c r="C39" s="169" t="s">
        <v>179</v>
      </c>
      <c r="D39" s="174"/>
      <c r="E39" s="384"/>
      <c r="F39" s="388"/>
      <c r="G39" s="358"/>
      <c r="H39" s="367"/>
      <c r="I39" s="372"/>
      <c r="J39" s="384">
        <f>SUM(J40:J52)</f>
        <v>314753.4741</v>
      </c>
      <c r="K39" s="389">
        <f>SUM(K40:K52)</f>
        <v>314753.4741</v>
      </c>
      <c r="L39" s="375">
        <f>SUM(L40:L52)</f>
        <v>0</v>
      </c>
      <c r="M39" s="630"/>
      <c r="P39" s="88"/>
      <c r="Q39" s="88"/>
    </row>
    <row r="40" spans="1:17" s="98" customFormat="1" ht="56.25">
      <c r="A40" s="137" t="s">
        <v>24</v>
      </c>
      <c r="B40" s="200" t="s">
        <v>368</v>
      </c>
      <c r="C40" s="168" t="s">
        <v>238</v>
      </c>
      <c r="D40" s="173" t="s">
        <v>17</v>
      </c>
      <c r="E40" s="367">
        <v>2092.91</v>
      </c>
      <c r="F40" s="388">
        <f>' ÚLTIMA MEDIÇÃO - BM Nº5'!BR40</f>
        <v>2092.91</v>
      </c>
      <c r="G40" s="358">
        <f t="shared" si="0"/>
        <v>0</v>
      </c>
      <c r="H40" s="367">
        <f>'PLANILHA DA PROPOSTA'!F46</f>
        <v>2.99</v>
      </c>
      <c r="I40" s="372">
        <f>'PLANILHA DA PROPOSTA'!G46</f>
        <v>3.65</v>
      </c>
      <c r="J40" s="367">
        <f aca="true" t="shared" si="5" ref="J40:J51">E40*I40</f>
        <v>7639.121499999999</v>
      </c>
      <c r="K40" s="379">
        <f aca="true" t="shared" si="6" ref="K40:K51">F40*I40</f>
        <v>7639.121499999999</v>
      </c>
      <c r="L40" s="181">
        <f aca="true" t="shared" si="7" ref="L40:L51">G40*I40</f>
        <v>0</v>
      </c>
      <c r="M40" s="632"/>
      <c r="P40" s="88" t="e">
        <f>'MEMÓRIA DE CÁLCULO'!#REF!</f>
        <v>#REF!</v>
      </c>
      <c r="Q40" s="88" t="e">
        <f>E40-P40</f>
        <v>#REF!</v>
      </c>
    </row>
    <row r="41" spans="1:17" s="98" customFormat="1" ht="33.75">
      <c r="A41" s="137" t="s">
        <v>58</v>
      </c>
      <c r="B41" s="200" t="s">
        <v>368</v>
      </c>
      <c r="C41" s="168" t="s">
        <v>221</v>
      </c>
      <c r="D41" s="173" t="s">
        <v>12</v>
      </c>
      <c r="E41" s="367">
        <v>54.67</v>
      </c>
      <c r="F41" s="388">
        <f>' ÚLTIMA MEDIÇÃO - BM Nº5'!BR41</f>
        <v>54.67</v>
      </c>
      <c r="G41" s="358">
        <f t="shared" si="0"/>
        <v>0</v>
      </c>
      <c r="H41" s="367">
        <f>'PLANILHA DA PROPOSTA'!F47</f>
        <v>8.6</v>
      </c>
      <c r="I41" s="372">
        <f>'PLANILHA DA PROPOSTA'!G47</f>
        <v>10.5</v>
      </c>
      <c r="J41" s="367">
        <f t="shared" si="5"/>
        <v>574.035</v>
      </c>
      <c r="K41" s="379">
        <f t="shared" si="6"/>
        <v>574.035</v>
      </c>
      <c r="L41" s="181">
        <f t="shared" si="7"/>
        <v>0</v>
      </c>
      <c r="M41" s="632"/>
      <c r="P41" s="88" t="e">
        <f>'MEMÓRIA DE CÁLCULO'!#REF!</f>
        <v>#REF!</v>
      </c>
      <c r="Q41" s="88" t="e">
        <f>E41-P41</f>
        <v>#REF!</v>
      </c>
    </row>
    <row r="42" spans="1:17" s="4" customFormat="1" ht="33.75">
      <c r="A42" s="137" t="s">
        <v>27</v>
      </c>
      <c r="B42" s="200" t="s">
        <v>368</v>
      </c>
      <c r="C42" s="168" t="s">
        <v>186</v>
      </c>
      <c r="D42" s="173" t="s">
        <v>17</v>
      </c>
      <c r="E42" s="367">
        <v>2106.58</v>
      </c>
      <c r="F42" s="388">
        <f>' ÚLTIMA MEDIÇÃO - BM Nº5'!BR42</f>
        <v>2106.58</v>
      </c>
      <c r="G42" s="358">
        <f t="shared" si="0"/>
        <v>0</v>
      </c>
      <c r="H42" s="367">
        <f>'PLANILHA DA PROPOSTA'!F48</f>
        <v>0.85</v>
      </c>
      <c r="I42" s="372">
        <f>'PLANILHA DA PROPOSTA'!G48</f>
        <v>1.04</v>
      </c>
      <c r="J42" s="367">
        <f t="shared" si="5"/>
        <v>2190.8432</v>
      </c>
      <c r="K42" s="379">
        <f t="shared" si="6"/>
        <v>2190.8432</v>
      </c>
      <c r="L42" s="181">
        <f t="shared" si="7"/>
        <v>0</v>
      </c>
      <c r="M42" s="63"/>
      <c r="N42" s="63"/>
      <c r="O42" s="63"/>
      <c r="P42" s="88" t="e">
        <f>'MEMÓRIA DE CÁLCULO'!#REF!</f>
        <v>#REF!</v>
      </c>
      <c r="Q42" s="88" t="e">
        <f aca="true" t="shared" si="8" ref="Q42:Q51">E42-P42</f>
        <v>#REF!</v>
      </c>
    </row>
    <row r="43" spans="1:17" s="4" customFormat="1" ht="22.5">
      <c r="A43" s="137" t="s">
        <v>187</v>
      </c>
      <c r="B43" s="200" t="s">
        <v>368</v>
      </c>
      <c r="C43" s="168" t="s">
        <v>190</v>
      </c>
      <c r="D43" s="173" t="s">
        <v>180</v>
      </c>
      <c r="E43" s="367">
        <v>3159.87</v>
      </c>
      <c r="F43" s="388">
        <f>' ÚLTIMA MEDIÇÃO - BM Nº5'!BR43</f>
        <v>3159.87</v>
      </c>
      <c r="G43" s="358">
        <f t="shared" si="0"/>
        <v>0</v>
      </c>
      <c r="H43" s="367">
        <f>'PLANILHA DA PROPOSTA'!F49</f>
        <v>1.22</v>
      </c>
      <c r="I43" s="372">
        <f>'PLANILHA DA PROPOSTA'!G49</f>
        <v>1.49</v>
      </c>
      <c r="J43" s="367">
        <f t="shared" si="5"/>
        <v>4708.2063</v>
      </c>
      <c r="K43" s="379">
        <f t="shared" si="6"/>
        <v>4708.2063</v>
      </c>
      <c r="L43" s="181">
        <f t="shared" si="7"/>
        <v>0</v>
      </c>
      <c r="M43" s="63"/>
      <c r="N43" s="63"/>
      <c r="O43" s="63"/>
      <c r="P43" s="88" t="e">
        <f>'MEMÓRIA DE CÁLCULO'!#REF!</f>
        <v>#REF!</v>
      </c>
      <c r="Q43" s="88" t="e">
        <f t="shared" si="8"/>
        <v>#REF!</v>
      </c>
    </row>
    <row r="44" spans="1:19" s="4" customFormat="1" ht="22.5">
      <c r="A44" s="137" t="s">
        <v>188</v>
      </c>
      <c r="B44" s="200" t="s">
        <v>368</v>
      </c>
      <c r="C44" s="168" t="s">
        <v>51</v>
      </c>
      <c r="D44" s="173" t="s">
        <v>12</v>
      </c>
      <c r="E44" s="367">
        <v>8426.32</v>
      </c>
      <c r="F44" s="388">
        <f>' ÚLTIMA MEDIÇÃO - BM Nº5'!BR44</f>
        <v>8426.32</v>
      </c>
      <c r="G44" s="358">
        <f t="shared" si="0"/>
        <v>0</v>
      </c>
      <c r="H44" s="367">
        <f>'PLANILHA DA PROPOSTA'!F50</f>
        <v>1.07</v>
      </c>
      <c r="I44" s="372">
        <f>'PLANILHA DA PROPOSTA'!G50</f>
        <v>1.31</v>
      </c>
      <c r="J44" s="367">
        <f t="shared" si="5"/>
        <v>11038.4792</v>
      </c>
      <c r="K44" s="379">
        <f t="shared" si="6"/>
        <v>11038.4792</v>
      </c>
      <c r="L44" s="181">
        <f t="shared" si="7"/>
        <v>0</v>
      </c>
      <c r="M44" s="63"/>
      <c r="N44" s="63"/>
      <c r="O44" s="63"/>
      <c r="P44" s="88" t="e">
        <f>'MEMÓRIA DE CÁLCULO'!#REF!</f>
        <v>#REF!</v>
      </c>
      <c r="Q44" s="88" t="e">
        <f t="shared" si="8"/>
        <v>#REF!</v>
      </c>
      <c r="R44" s="192"/>
      <c r="S44" s="193"/>
    </row>
    <row r="45" spans="1:17" s="4" customFormat="1" ht="45">
      <c r="A45" s="137" t="s">
        <v>189</v>
      </c>
      <c r="B45" s="200" t="s">
        <v>368</v>
      </c>
      <c r="C45" s="168" t="s">
        <v>185</v>
      </c>
      <c r="D45" s="173" t="s">
        <v>17</v>
      </c>
      <c r="E45" s="367">
        <v>1685.26</v>
      </c>
      <c r="F45" s="388">
        <f>' ÚLTIMA MEDIÇÃO - BM Nº5'!BR45</f>
        <v>1685.26</v>
      </c>
      <c r="G45" s="358">
        <f t="shared" si="0"/>
        <v>0</v>
      </c>
      <c r="H45" s="367">
        <f>'PLANILHA DA PROPOSTA'!F51</f>
        <v>2.99</v>
      </c>
      <c r="I45" s="372">
        <f>'PLANILHA DA PROPOSTA'!G51</f>
        <v>3.65</v>
      </c>
      <c r="J45" s="367">
        <f t="shared" si="5"/>
        <v>6151.199</v>
      </c>
      <c r="K45" s="379">
        <f t="shared" si="6"/>
        <v>6151.199</v>
      </c>
      <c r="L45" s="181">
        <f t="shared" si="7"/>
        <v>0</v>
      </c>
      <c r="M45" s="63"/>
      <c r="N45" s="63"/>
      <c r="O45" s="63"/>
      <c r="P45" s="88" t="e">
        <f>'MEMÓRIA DE CÁLCULO'!#REF!</f>
        <v>#REF!</v>
      </c>
      <c r="Q45" s="88" t="e">
        <f t="shared" si="8"/>
        <v>#REF!</v>
      </c>
    </row>
    <row r="46" spans="1:17" s="4" customFormat="1" ht="33.75">
      <c r="A46" s="137" t="s">
        <v>191</v>
      </c>
      <c r="B46" s="200" t="s">
        <v>368</v>
      </c>
      <c r="C46" s="168" t="s">
        <v>199</v>
      </c>
      <c r="D46" s="173" t="s">
        <v>181</v>
      </c>
      <c r="E46" s="367">
        <v>10516.05</v>
      </c>
      <c r="F46" s="388">
        <f>' ÚLTIMA MEDIÇÃO - BM Nº5'!BR46</f>
        <v>10516.05</v>
      </c>
      <c r="G46" s="358">
        <f t="shared" si="0"/>
        <v>0</v>
      </c>
      <c r="H46" s="367">
        <f>'PLANILHA DA PROPOSTA'!F52</f>
        <v>0.81</v>
      </c>
      <c r="I46" s="372">
        <f>'PLANILHA DA PROPOSTA'!G52</f>
        <v>0.99</v>
      </c>
      <c r="J46" s="367">
        <f t="shared" si="5"/>
        <v>10410.8895</v>
      </c>
      <c r="K46" s="379">
        <f t="shared" si="6"/>
        <v>10410.8895</v>
      </c>
      <c r="L46" s="181">
        <f t="shared" si="7"/>
        <v>0</v>
      </c>
      <c r="M46" s="63"/>
      <c r="N46" s="63"/>
      <c r="O46" s="63"/>
      <c r="P46" s="88" t="e">
        <f>'MEMÓRIA DE CÁLCULO'!#REF!</f>
        <v>#REF!</v>
      </c>
      <c r="Q46" s="88" t="e">
        <f t="shared" si="8"/>
        <v>#REF!</v>
      </c>
    </row>
    <row r="47" spans="1:17" s="4" customFormat="1" ht="33.75">
      <c r="A47" s="137" t="s">
        <v>192</v>
      </c>
      <c r="B47" s="200" t="s">
        <v>368</v>
      </c>
      <c r="C47" s="168" t="s">
        <v>237</v>
      </c>
      <c r="D47" s="173" t="s">
        <v>17</v>
      </c>
      <c r="E47" s="367">
        <v>1685.26</v>
      </c>
      <c r="F47" s="388">
        <f>' ÚLTIMA MEDIÇÃO - BM Nº5'!BR47</f>
        <v>1685.26</v>
      </c>
      <c r="G47" s="358">
        <f t="shared" si="0"/>
        <v>0</v>
      </c>
      <c r="H47" s="367">
        <f>'PLANILHA DA PROPOSTA'!F53</f>
        <v>8.25</v>
      </c>
      <c r="I47" s="372">
        <f>'PLANILHA DA PROPOSTA'!G53</f>
        <v>10.07</v>
      </c>
      <c r="J47" s="367">
        <f t="shared" si="5"/>
        <v>16970.5682</v>
      </c>
      <c r="K47" s="379">
        <f t="shared" si="6"/>
        <v>16970.5682</v>
      </c>
      <c r="L47" s="181">
        <f t="shared" si="7"/>
        <v>0</v>
      </c>
      <c r="M47" s="63"/>
      <c r="N47" s="63"/>
      <c r="O47" s="63"/>
      <c r="P47" s="88" t="e">
        <f>'MEMÓRIA DE CÁLCULO'!#REF!</f>
        <v>#REF!</v>
      </c>
      <c r="Q47" s="88" t="e">
        <f t="shared" si="8"/>
        <v>#REF!</v>
      </c>
    </row>
    <row r="48" spans="1:18" s="4" customFormat="1" ht="22.5">
      <c r="A48" s="137" t="s">
        <v>193</v>
      </c>
      <c r="B48" s="200" t="s">
        <v>368</v>
      </c>
      <c r="C48" s="168" t="s">
        <v>236</v>
      </c>
      <c r="D48" s="173" t="s">
        <v>181</v>
      </c>
      <c r="E48" s="367">
        <v>700.93</v>
      </c>
      <c r="F48" s="388">
        <f>' ÚLTIMA MEDIÇÃO - BM Nº5'!BR48</f>
        <v>700.93</v>
      </c>
      <c r="G48" s="358">
        <f t="shared" si="0"/>
        <v>0</v>
      </c>
      <c r="H48" s="367">
        <f>'PLANILHA DA PROPOSTA'!F54</f>
        <v>0.55</v>
      </c>
      <c r="I48" s="372">
        <f>'PLANILHA DA PROPOSTA'!G54</f>
        <v>0.67</v>
      </c>
      <c r="J48" s="367">
        <f t="shared" si="5"/>
        <v>469.6231</v>
      </c>
      <c r="K48" s="379">
        <f t="shared" si="6"/>
        <v>469.6231</v>
      </c>
      <c r="L48" s="181">
        <f t="shared" si="7"/>
        <v>0</v>
      </c>
      <c r="M48" s="63"/>
      <c r="N48" s="63"/>
      <c r="O48" s="63"/>
      <c r="P48" s="88" t="e">
        <f>'MEMÓRIA DE CÁLCULO'!#REF!</f>
        <v>#REF!</v>
      </c>
      <c r="Q48" s="88" t="e">
        <f t="shared" si="8"/>
        <v>#REF!</v>
      </c>
      <c r="R48" s="194"/>
    </row>
    <row r="49" spans="1:18" s="4" customFormat="1" ht="22.5">
      <c r="A49" s="137" t="s">
        <v>194</v>
      </c>
      <c r="B49" s="200" t="s">
        <v>368</v>
      </c>
      <c r="C49" s="168" t="s">
        <v>197</v>
      </c>
      <c r="D49" s="173" t="s">
        <v>12</v>
      </c>
      <c r="E49" s="367">
        <v>8090.12</v>
      </c>
      <c r="F49" s="388">
        <f>' ÚLTIMA MEDIÇÃO - BM Nº5'!BR49</f>
        <v>8090.12</v>
      </c>
      <c r="G49" s="358">
        <f t="shared" si="0"/>
        <v>0</v>
      </c>
      <c r="H49" s="367">
        <f>'PLANILHA DA PROPOSTA'!F55</f>
        <v>4.16</v>
      </c>
      <c r="I49" s="372">
        <f>'PLANILHA DA PROPOSTA'!G55</f>
        <v>5.08</v>
      </c>
      <c r="J49" s="367">
        <f t="shared" si="5"/>
        <v>41097.8096</v>
      </c>
      <c r="K49" s="379">
        <f t="shared" si="6"/>
        <v>41097.8096</v>
      </c>
      <c r="L49" s="181">
        <f t="shared" si="7"/>
        <v>0</v>
      </c>
      <c r="M49" s="63"/>
      <c r="N49" s="63"/>
      <c r="O49" s="63"/>
      <c r="P49" s="88" t="e">
        <f>'MEMÓRIA DE CÁLCULO'!#REF!</f>
        <v>#REF!</v>
      </c>
      <c r="Q49" s="88" t="e">
        <f t="shared" si="8"/>
        <v>#REF!</v>
      </c>
      <c r="R49" s="194"/>
    </row>
    <row r="50" spans="1:18" s="4" customFormat="1" ht="22.5">
      <c r="A50" s="137" t="s">
        <v>195</v>
      </c>
      <c r="B50" s="200" t="s">
        <v>368</v>
      </c>
      <c r="C50" s="168" t="s">
        <v>250</v>
      </c>
      <c r="D50" s="173" t="s">
        <v>181</v>
      </c>
      <c r="E50" s="367">
        <v>56074.25</v>
      </c>
      <c r="F50" s="388">
        <f>' ÚLTIMA MEDIÇÃO - BM Nº5'!BR50</f>
        <v>56074.25</v>
      </c>
      <c r="G50" s="358">
        <f t="shared" si="0"/>
        <v>0</v>
      </c>
      <c r="H50" s="367">
        <f>'PLANILHA DA PROPOSTA'!F56</f>
        <v>0.42</v>
      </c>
      <c r="I50" s="372">
        <f>'PLANILHA DA PROPOSTA'!G56</f>
        <v>0.51</v>
      </c>
      <c r="J50" s="367">
        <f t="shared" si="5"/>
        <v>28597.8675</v>
      </c>
      <c r="K50" s="379">
        <f t="shared" si="6"/>
        <v>28597.8675</v>
      </c>
      <c r="L50" s="181">
        <f t="shared" si="7"/>
        <v>0</v>
      </c>
      <c r="M50" s="63"/>
      <c r="N50" s="63"/>
      <c r="O50" s="63"/>
      <c r="P50" s="88">
        <f>'MEMÓRIA DE CÁLCULO'!I1</f>
        <v>0</v>
      </c>
      <c r="Q50" s="88">
        <f t="shared" si="8"/>
        <v>56074.25</v>
      </c>
      <c r="R50" s="194"/>
    </row>
    <row r="51" spans="1:18" s="4" customFormat="1" ht="33.75">
      <c r="A51" s="137" t="s">
        <v>196</v>
      </c>
      <c r="B51" s="200" t="s">
        <v>368</v>
      </c>
      <c r="C51" s="168" t="s">
        <v>251</v>
      </c>
      <c r="D51" s="173" t="s">
        <v>198</v>
      </c>
      <c r="E51" s="367">
        <v>776.65</v>
      </c>
      <c r="F51" s="388">
        <f>' ÚLTIMA MEDIÇÃO - BM Nº5'!BR51</f>
        <v>776.65</v>
      </c>
      <c r="G51" s="358">
        <f t="shared" si="0"/>
        <v>0</v>
      </c>
      <c r="H51" s="367">
        <f>'PLANILHA DA PROPOSTA'!F57</f>
        <v>195.08</v>
      </c>
      <c r="I51" s="372">
        <f>'PLANILHA DA PROPOSTA'!G57</f>
        <v>238.08</v>
      </c>
      <c r="J51" s="367">
        <f t="shared" si="5"/>
        <v>184904.832</v>
      </c>
      <c r="K51" s="379">
        <f t="shared" si="6"/>
        <v>184904.832</v>
      </c>
      <c r="L51" s="181">
        <f t="shared" si="7"/>
        <v>0</v>
      </c>
      <c r="M51" s="280">
        <f>L39/E49</f>
        <v>0</v>
      </c>
      <c r="N51" s="281" t="s">
        <v>213</v>
      </c>
      <c r="O51" s="281"/>
      <c r="P51" s="88">
        <f>'MEMÓRIA DE CÁLCULO'!I2</f>
        <v>0</v>
      </c>
      <c r="Q51" s="88">
        <f t="shared" si="8"/>
        <v>776.65</v>
      </c>
      <c r="R51" s="194"/>
    </row>
    <row r="52" spans="1:18" s="4" customFormat="1" ht="12.75">
      <c r="A52" s="137"/>
      <c r="B52" s="164"/>
      <c r="C52" s="168"/>
      <c r="D52" s="173"/>
      <c r="E52" s="367"/>
      <c r="F52" s="388"/>
      <c r="G52" s="358"/>
      <c r="H52" s="367"/>
      <c r="I52" s="372"/>
      <c r="J52" s="367"/>
      <c r="K52" s="379"/>
      <c r="L52" s="181"/>
      <c r="M52" s="63"/>
      <c r="P52" s="88"/>
      <c r="Q52" s="88"/>
      <c r="R52" s="194"/>
    </row>
    <row r="53" spans="1:18" s="61" customFormat="1" ht="12.75">
      <c r="A53" s="197">
        <v>4</v>
      </c>
      <c r="B53" s="201"/>
      <c r="C53" s="169" t="s">
        <v>31</v>
      </c>
      <c r="D53" s="174"/>
      <c r="E53" s="384"/>
      <c r="F53" s="388"/>
      <c r="G53" s="358"/>
      <c r="H53" s="367"/>
      <c r="I53" s="372"/>
      <c r="J53" s="384">
        <f>SUM(J54:J57)</f>
        <v>51425.132300000005</v>
      </c>
      <c r="K53" s="389">
        <f>SUM(K54:K57)</f>
        <v>23330.222746</v>
      </c>
      <c r="L53" s="375">
        <f>SUM(L54:L57)</f>
        <v>28094.909554</v>
      </c>
      <c r="M53" s="630"/>
      <c r="P53" s="88"/>
      <c r="Q53" s="88"/>
      <c r="R53" s="64"/>
    </row>
    <row r="54" spans="1:18" s="4" customFormat="1" ht="22.5">
      <c r="A54" s="137" t="s">
        <v>25</v>
      </c>
      <c r="B54" s="200" t="s">
        <v>368</v>
      </c>
      <c r="C54" s="168" t="s">
        <v>53</v>
      </c>
      <c r="D54" s="173" t="s">
        <v>17</v>
      </c>
      <c r="E54" s="367">
        <v>101.51</v>
      </c>
      <c r="F54" s="388">
        <f>' ÚLTIMA MEDIÇÃO - BM Nº5'!BR54</f>
        <v>47.7097</v>
      </c>
      <c r="G54" s="358">
        <f t="shared" si="0"/>
        <v>53.80030000000001</v>
      </c>
      <c r="H54" s="367">
        <f>'PLANILHA DA PROPOSTA'!F60</f>
        <v>87.84</v>
      </c>
      <c r="I54" s="372">
        <f>'PLANILHA DA PROPOSTA'!G60</f>
        <v>107.2</v>
      </c>
      <c r="J54" s="367">
        <f>E54*I54</f>
        <v>10881.872000000001</v>
      </c>
      <c r="K54" s="379">
        <f>F54*I54</f>
        <v>5114.47984</v>
      </c>
      <c r="L54" s="181">
        <f>G54*I54</f>
        <v>5767.392160000001</v>
      </c>
      <c r="M54" s="63"/>
      <c r="P54" s="88">
        <f>'MEMÓRIA DE CÁLCULO'!I71</f>
        <v>0</v>
      </c>
      <c r="Q54" s="88">
        <f>E54-P54</f>
        <v>101.51</v>
      </c>
      <c r="R54" s="64"/>
    </row>
    <row r="55" spans="1:18" s="4" customFormat="1" ht="33.75">
      <c r="A55" s="137" t="s">
        <v>59</v>
      </c>
      <c r="B55" s="200" t="s">
        <v>368</v>
      </c>
      <c r="C55" s="168" t="s">
        <v>79</v>
      </c>
      <c r="D55" s="173" t="s">
        <v>12</v>
      </c>
      <c r="E55" s="367">
        <v>676.74</v>
      </c>
      <c r="F55" s="388">
        <f>' ÚLTIMA MEDIÇÃO - BM Nº5'!BR55</f>
        <v>318.0678</v>
      </c>
      <c r="G55" s="358">
        <f t="shared" si="0"/>
        <v>358.67220000000003</v>
      </c>
      <c r="H55" s="367">
        <f>'PLANILHA DA PROPOSTA'!F61</f>
        <v>46.93</v>
      </c>
      <c r="I55" s="372">
        <f>'PLANILHA DA PROPOSTA'!G61</f>
        <v>57.27</v>
      </c>
      <c r="J55" s="367">
        <f>E55*I55</f>
        <v>38756.8998</v>
      </c>
      <c r="K55" s="379">
        <f>F55*I55</f>
        <v>18215.742906</v>
      </c>
      <c r="L55" s="181">
        <f>G55*I55</f>
        <v>20541.156894000003</v>
      </c>
      <c r="M55" s="63"/>
      <c r="P55" s="88">
        <f>'MEMÓRIA DE CÁLCULO'!I72</f>
        <v>105.6</v>
      </c>
      <c r="Q55" s="88">
        <f>E55-P55</f>
        <v>571.14</v>
      </c>
      <c r="R55" s="64"/>
    </row>
    <row r="56" spans="1:18" s="4" customFormat="1" ht="51" customHeight="1">
      <c r="A56" s="137" t="s">
        <v>159</v>
      </c>
      <c r="B56" s="200" t="s">
        <v>368</v>
      </c>
      <c r="C56" s="168" t="str">
        <f>'PLANILHA DA PROPOSTA'!C62</f>
        <v>Piso de alerta em placas marmorizadas vibro-prensadas, Tecnogran ou similar, com acabamento rustico, na cor cinza, inclusive contrapiso com espessura de 3cm. Fornecimento e colocacao.</v>
      </c>
      <c r="D56" s="173" t="s">
        <v>12</v>
      </c>
      <c r="E56" s="367">
        <v>11.71</v>
      </c>
      <c r="F56" s="388">
        <f>' ÚLTIMA MEDIÇÃO - BM Nº5'!BR56</f>
        <v>0</v>
      </c>
      <c r="G56" s="358">
        <f t="shared" si="0"/>
        <v>11.71</v>
      </c>
      <c r="H56" s="367">
        <f>'PLANILHA DA PROPOSTA'!F62</f>
        <v>125</v>
      </c>
      <c r="I56" s="372">
        <f>'PLANILHA DA PROPOSTA'!G62</f>
        <v>152.55</v>
      </c>
      <c r="J56" s="367">
        <f>E56*I56</f>
        <v>1786.3605000000002</v>
      </c>
      <c r="K56" s="379">
        <f>F56*I56</f>
        <v>0</v>
      </c>
      <c r="L56" s="181">
        <f>G56*I56</f>
        <v>1786.3605000000002</v>
      </c>
      <c r="M56" s="63"/>
      <c r="P56" s="88">
        <f>'MEMÓRIA DE CÁLCULO'!I73</f>
        <v>0</v>
      </c>
      <c r="Q56" s="88">
        <f>E56-P56</f>
        <v>11.71</v>
      </c>
      <c r="R56" s="64"/>
    </row>
    <row r="57" spans="1:17" s="4" customFormat="1" ht="12.75">
      <c r="A57" s="137"/>
      <c r="B57" s="164"/>
      <c r="C57" s="168"/>
      <c r="D57" s="173"/>
      <c r="E57" s="367"/>
      <c r="F57" s="388"/>
      <c r="G57" s="358"/>
      <c r="H57" s="367"/>
      <c r="I57" s="372"/>
      <c r="J57" s="367"/>
      <c r="K57" s="379"/>
      <c r="L57" s="181"/>
      <c r="M57" s="63"/>
      <c r="P57" s="88"/>
      <c r="Q57" s="88"/>
    </row>
    <row r="58" spans="1:18" s="61" customFormat="1" ht="12.75">
      <c r="A58" s="197">
        <v>5</v>
      </c>
      <c r="B58" s="201"/>
      <c r="C58" s="169" t="s">
        <v>67</v>
      </c>
      <c r="D58" s="174"/>
      <c r="E58" s="384"/>
      <c r="F58" s="388"/>
      <c r="G58" s="358"/>
      <c r="H58" s="367"/>
      <c r="I58" s="372"/>
      <c r="J58" s="384">
        <f>SUM(J59:J65)</f>
        <v>7441.1016</v>
      </c>
      <c r="K58" s="389">
        <f>SUM(K59:K65)</f>
        <v>0</v>
      </c>
      <c r="L58" s="375">
        <f>SUM(L59:L65)</f>
        <v>7441.1016</v>
      </c>
      <c r="M58" s="630"/>
      <c r="P58" s="88"/>
      <c r="Q58" s="88"/>
      <c r="R58" s="64"/>
    </row>
    <row r="59" spans="1:18" s="4" customFormat="1" ht="22.5">
      <c r="A59" s="137" t="s">
        <v>32</v>
      </c>
      <c r="B59" s="200" t="s">
        <v>368</v>
      </c>
      <c r="C59" s="168" t="s">
        <v>70</v>
      </c>
      <c r="D59" s="173" t="s">
        <v>12</v>
      </c>
      <c r="E59" s="367">
        <v>105.6</v>
      </c>
      <c r="F59" s="388">
        <f>' ÚLTIMA MEDIÇÃO - BM Nº5'!BR59</f>
        <v>0</v>
      </c>
      <c r="G59" s="358">
        <f t="shared" si="0"/>
        <v>105.6</v>
      </c>
      <c r="H59" s="367">
        <f>'PLANILHA DA PROPOSTA'!F65</f>
        <v>26.29</v>
      </c>
      <c r="I59" s="372">
        <f>'PLANILHA DA PROPOSTA'!G65</f>
        <v>32.08</v>
      </c>
      <c r="J59" s="367">
        <f aca="true" t="shared" si="9" ref="J59:J64">E59*I59</f>
        <v>3387.6479999999997</v>
      </c>
      <c r="K59" s="379">
        <f aca="true" t="shared" si="10" ref="K59:K64">F59*I59</f>
        <v>0</v>
      </c>
      <c r="L59" s="181">
        <f aca="true" t="shared" si="11" ref="L59:L64">G59*I59</f>
        <v>3387.6479999999997</v>
      </c>
      <c r="M59" s="63"/>
      <c r="P59" s="88">
        <f>'MEMÓRIA DE CÁLCULO'!I76</f>
        <v>17</v>
      </c>
      <c r="Q59" s="88">
        <f aca="true" t="shared" si="12" ref="Q59:Q64">E59-P59</f>
        <v>88.6</v>
      </c>
      <c r="R59" s="64"/>
    </row>
    <row r="60" spans="1:18" s="4" customFormat="1" ht="22.5">
      <c r="A60" s="137" t="s">
        <v>76</v>
      </c>
      <c r="B60" s="200" t="s">
        <v>368</v>
      </c>
      <c r="C60" s="168" t="s">
        <v>127</v>
      </c>
      <c r="D60" s="173" t="s">
        <v>12</v>
      </c>
      <c r="E60" s="367">
        <v>6.84</v>
      </c>
      <c r="F60" s="388">
        <f>' ÚLTIMA MEDIÇÃO - BM Nº5'!BR60</f>
        <v>0</v>
      </c>
      <c r="G60" s="358">
        <f t="shared" si="0"/>
        <v>6.84</v>
      </c>
      <c r="H60" s="367">
        <f>'PLANILHA DA PROPOSTA'!F66</f>
        <v>26.29</v>
      </c>
      <c r="I60" s="372">
        <f>'PLANILHA DA PROPOSTA'!G66</f>
        <v>32.08</v>
      </c>
      <c r="J60" s="367">
        <f t="shared" si="9"/>
        <v>219.42719999999997</v>
      </c>
      <c r="K60" s="379">
        <f t="shared" si="10"/>
        <v>0</v>
      </c>
      <c r="L60" s="181">
        <f t="shared" si="11"/>
        <v>219.42719999999997</v>
      </c>
      <c r="M60" s="63"/>
      <c r="P60" s="88" t="e">
        <f>'MEMÓRIA DE CÁLCULO'!#REF!</f>
        <v>#REF!</v>
      </c>
      <c r="Q60" s="88" t="e">
        <f t="shared" si="12"/>
        <v>#REF!</v>
      </c>
      <c r="R60" s="64"/>
    </row>
    <row r="61" spans="1:18" s="4" customFormat="1" ht="22.5">
      <c r="A61" s="137" t="s">
        <v>77</v>
      </c>
      <c r="B61" s="200" t="s">
        <v>368</v>
      </c>
      <c r="C61" s="168" t="s">
        <v>72</v>
      </c>
      <c r="D61" s="173" t="s">
        <v>12</v>
      </c>
      <c r="E61" s="367">
        <v>6.48</v>
      </c>
      <c r="F61" s="388">
        <f>' ÚLTIMA MEDIÇÃO - BM Nº5'!BR61</f>
        <v>0</v>
      </c>
      <c r="G61" s="358">
        <f t="shared" si="0"/>
        <v>6.48</v>
      </c>
      <c r="H61" s="367">
        <f>'PLANILHA DA PROPOSTA'!F67</f>
        <v>223.48</v>
      </c>
      <c r="I61" s="372">
        <f>'PLANILHA DA PROPOSTA'!G67</f>
        <v>272.73</v>
      </c>
      <c r="J61" s="367">
        <f t="shared" si="9"/>
        <v>1767.2904000000003</v>
      </c>
      <c r="K61" s="379">
        <f t="shared" si="10"/>
        <v>0</v>
      </c>
      <c r="L61" s="181">
        <f t="shared" si="11"/>
        <v>1767.2904000000003</v>
      </c>
      <c r="M61" s="63"/>
      <c r="P61" s="88">
        <f>'MEMÓRIA DE CÁLCULO'!I79</f>
        <v>3</v>
      </c>
      <c r="Q61" s="88">
        <f t="shared" si="12"/>
        <v>3.4800000000000004</v>
      </c>
      <c r="R61" s="64"/>
    </row>
    <row r="62" spans="1:18" s="4" customFormat="1" ht="22.5">
      <c r="A62" s="137" t="s">
        <v>78</v>
      </c>
      <c r="B62" s="200" t="s">
        <v>368</v>
      </c>
      <c r="C62" s="168" t="s">
        <v>132</v>
      </c>
      <c r="D62" s="173" t="s">
        <v>26</v>
      </c>
      <c r="E62" s="367">
        <v>21</v>
      </c>
      <c r="F62" s="388">
        <f>' ÚLTIMA MEDIÇÃO - BM Nº5'!BR62</f>
        <v>0</v>
      </c>
      <c r="G62" s="358">
        <f t="shared" si="0"/>
        <v>21</v>
      </c>
      <c r="H62" s="367">
        <f>'PLANILHA DA PROPOSTA'!F68</f>
        <v>63.87</v>
      </c>
      <c r="I62" s="372">
        <f>'PLANILHA DA PROPOSTA'!G68</f>
        <v>77.95</v>
      </c>
      <c r="J62" s="367">
        <f t="shared" si="9"/>
        <v>1636.95</v>
      </c>
      <c r="K62" s="379">
        <f t="shared" si="10"/>
        <v>0</v>
      </c>
      <c r="L62" s="181">
        <f t="shared" si="11"/>
        <v>1636.95</v>
      </c>
      <c r="M62" s="63"/>
      <c r="P62" s="88">
        <f>'MEMÓRIA DE CÁLCULO'!I80</f>
        <v>0</v>
      </c>
      <c r="Q62" s="88">
        <f t="shared" si="12"/>
        <v>21</v>
      </c>
      <c r="R62" s="64"/>
    </row>
    <row r="63" spans="1:18" s="4" customFormat="1" ht="12.75">
      <c r="A63" s="137" t="s">
        <v>128</v>
      </c>
      <c r="B63" s="200" t="s">
        <v>368</v>
      </c>
      <c r="C63" s="168" t="s">
        <v>73</v>
      </c>
      <c r="D63" s="173" t="s">
        <v>12</v>
      </c>
      <c r="E63" s="367">
        <v>10.8</v>
      </c>
      <c r="F63" s="388">
        <f>' ÚLTIMA MEDIÇÃO - BM Nº5'!BR63</f>
        <v>0</v>
      </c>
      <c r="G63" s="358">
        <f t="shared" si="0"/>
        <v>10.8</v>
      </c>
      <c r="H63" s="367">
        <f>'PLANILHA DA PROPOSTA'!F69</f>
        <v>9.6</v>
      </c>
      <c r="I63" s="372">
        <f>'PLANILHA DA PROPOSTA'!G69</f>
        <v>11.72</v>
      </c>
      <c r="J63" s="367">
        <f t="shared" si="9"/>
        <v>126.57600000000002</v>
      </c>
      <c r="K63" s="379">
        <f t="shared" si="10"/>
        <v>0</v>
      </c>
      <c r="L63" s="181">
        <f t="shared" si="11"/>
        <v>126.57600000000002</v>
      </c>
      <c r="M63" s="63"/>
      <c r="P63" s="88">
        <f>'MEMÓRIA DE CÁLCULO'!I81</f>
        <v>0</v>
      </c>
      <c r="Q63" s="88">
        <f t="shared" si="12"/>
        <v>10.8</v>
      </c>
      <c r="R63" s="64"/>
    </row>
    <row r="64" spans="1:18" s="4" customFormat="1" ht="22.5">
      <c r="A64" s="137" t="s">
        <v>129</v>
      </c>
      <c r="B64" s="200" t="s">
        <v>368</v>
      </c>
      <c r="C64" s="168" t="s">
        <v>75</v>
      </c>
      <c r="D64" s="173" t="s">
        <v>26</v>
      </c>
      <c r="E64" s="367">
        <v>3</v>
      </c>
      <c r="F64" s="388">
        <f>' ÚLTIMA MEDIÇÃO - BM Nº5'!BR64</f>
        <v>0</v>
      </c>
      <c r="G64" s="358">
        <f t="shared" si="0"/>
        <v>3</v>
      </c>
      <c r="H64" s="367">
        <f>'PLANILHA DA PROPOSTA'!F70</f>
        <v>82.82</v>
      </c>
      <c r="I64" s="372">
        <f>'PLANILHA DA PROPOSTA'!G70</f>
        <v>101.07</v>
      </c>
      <c r="J64" s="367">
        <f t="shared" si="9"/>
        <v>303.21</v>
      </c>
      <c r="K64" s="379">
        <f t="shared" si="10"/>
        <v>0</v>
      </c>
      <c r="L64" s="181">
        <f t="shared" si="11"/>
        <v>303.21</v>
      </c>
      <c r="M64" s="63"/>
      <c r="P64" s="88">
        <f>'MEMÓRIA DE CÁLCULO'!I82</f>
        <v>1.08</v>
      </c>
      <c r="Q64" s="88">
        <f t="shared" si="12"/>
        <v>1.92</v>
      </c>
      <c r="R64" s="64"/>
    </row>
    <row r="65" spans="1:18" s="89" customFormat="1" ht="12.75">
      <c r="A65" s="139"/>
      <c r="B65" s="202"/>
      <c r="C65" s="170"/>
      <c r="D65" s="175"/>
      <c r="E65" s="385"/>
      <c r="F65" s="388"/>
      <c r="G65" s="358"/>
      <c r="H65" s="367"/>
      <c r="I65" s="372"/>
      <c r="J65" s="367"/>
      <c r="K65" s="379"/>
      <c r="L65" s="181"/>
      <c r="M65" s="633"/>
      <c r="P65" s="88"/>
      <c r="Q65" s="88"/>
      <c r="R65" s="90"/>
    </row>
    <row r="66" spans="1:17" s="61" customFormat="1" ht="12.75">
      <c r="A66" s="197">
        <v>6</v>
      </c>
      <c r="B66" s="201"/>
      <c r="C66" s="169" t="s">
        <v>214</v>
      </c>
      <c r="D66" s="174"/>
      <c r="E66" s="384"/>
      <c r="F66" s="388"/>
      <c r="G66" s="358"/>
      <c r="H66" s="367"/>
      <c r="I66" s="372"/>
      <c r="J66" s="384">
        <f>SUM(J67:J73)</f>
        <v>1515.1428</v>
      </c>
      <c r="K66" s="389">
        <f>SUM(K67:K73)</f>
        <v>589.5828000000001</v>
      </c>
      <c r="L66" s="375">
        <f>SUM(L67:L73)</f>
        <v>925.56</v>
      </c>
      <c r="M66" s="630"/>
      <c r="P66" s="88"/>
      <c r="Q66" s="88"/>
    </row>
    <row r="67" spans="1:17" s="98" customFormat="1" ht="22.5">
      <c r="A67" s="137" t="s">
        <v>68</v>
      </c>
      <c r="B67" s="200" t="s">
        <v>368</v>
      </c>
      <c r="C67" s="168" t="s">
        <v>222</v>
      </c>
      <c r="D67" s="173" t="s">
        <v>17</v>
      </c>
      <c r="E67" s="367">
        <v>1.08</v>
      </c>
      <c r="F67" s="388">
        <f>' ÚLTIMA MEDIÇÃO - BM Nº5'!BR67</f>
        <v>1.08</v>
      </c>
      <c r="G67" s="358">
        <f t="shared" si="0"/>
        <v>0</v>
      </c>
      <c r="H67" s="367">
        <f>'PLANILHA DA PROPOSTA'!F73</f>
        <v>28.18</v>
      </c>
      <c r="I67" s="372">
        <f>'PLANILHA DA PROPOSTA'!G73</f>
        <v>34.39</v>
      </c>
      <c r="J67" s="367">
        <f aca="true" t="shared" si="13" ref="J67:J72">E67*I67</f>
        <v>37.141200000000005</v>
      </c>
      <c r="K67" s="379">
        <f aca="true" t="shared" si="14" ref="K67:K72">F67*I67</f>
        <v>37.141200000000005</v>
      </c>
      <c r="L67" s="181">
        <f aca="true" t="shared" si="15" ref="L67:L72">G67*I67</f>
        <v>0</v>
      </c>
      <c r="M67" s="632"/>
      <c r="P67" s="88">
        <f>'MEMÓRIA DE CÁLCULO'!I85</f>
        <v>4.32</v>
      </c>
      <c r="Q67" s="88">
        <f aca="true" t="shared" si="16" ref="Q67:Q72">E67-P67</f>
        <v>-3.24</v>
      </c>
    </row>
    <row r="68" spans="1:17" s="98" customFormat="1" ht="56.25">
      <c r="A68" s="137" t="s">
        <v>215</v>
      </c>
      <c r="B68" s="200" t="s">
        <v>368</v>
      </c>
      <c r="C68" s="168" t="s">
        <v>223</v>
      </c>
      <c r="D68" s="173" t="s">
        <v>17</v>
      </c>
      <c r="E68" s="367">
        <v>8.64</v>
      </c>
      <c r="F68" s="388">
        <f>' ÚLTIMA MEDIÇÃO - BM Nº5'!BR68</f>
        <v>8.64</v>
      </c>
      <c r="G68" s="358">
        <f t="shared" si="0"/>
        <v>0</v>
      </c>
      <c r="H68" s="367">
        <f>'PLANILHA DA PROPOSTA'!F74</f>
        <v>11.35</v>
      </c>
      <c r="I68" s="372">
        <f>'PLANILHA DA PROPOSTA'!G74</f>
        <v>13.85</v>
      </c>
      <c r="J68" s="367">
        <f t="shared" si="13"/>
        <v>119.664</v>
      </c>
      <c r="K68" s="379">
        <f t="shared" si="14"/>
        <v>119.664</v>
      </c>
      <c r="L68" s="181">
        <f t="shared" si="15"/>
        <v>0</v>
      </c>
      <c r="M68" s="632"/>
      <c r="P68" s="88">
        <f>'MEMÓRIA DE CÁLCULO'!I86</f>
        <v>4.32</v>
      </c>
      <c r="Q68" s="88">
        <f t="shared" si="16"/>
        <v>4.32</v>
      </c>
    </row>
    <row r="69" spans="1:17" s="98" customFormat="1" ht="56.25">
      <c r="A69" s="137" t="s">
        <v>216</v>
      </c>
      <c r="B69" s="200" t="s">
        <v>368</v>
      </c>
      <c r="C69" s="168" t="s">
        <v>224</v>
      </c>
      <c r="D69" s="173" t="s">
        <v>12</v>
      </c>
      <c r="E69" s="367">
        <v>4.32</v>
      </c>
      <c r="F69" s="388">
        <f>' ÚLTIMA MEDIÇÃO - BM Nº5'!BR69</f>
        <v>0</v>
      </c>
      <c r="G69" s="358">
        <f t="shared" si="0"/>
        <v>4.32</v>
      </c>
      <c r="H69" s="367">
        <f>'PLANILHA DA PROPOSTA'!F75</f>
        <v>59.15</v>
      </c>
      <c r="I69" s="372">
        <f>'PLANILHA DA PROPOSTA'!G75</f>
        <v>72.19</v>
      </c>
      <c r="J69" s="367">
        <f t="shared" si="13"/>
        <v>311.8608</v>
      </c>
      <c r="K69" s="379">
        <f t="shared" si="14"/>
        <v>0</v>
      </c>
      <c r="L69" s="181">
        <f t="shared" si="15"/>
        <v>311.8608</v>
      </c>
      <c r="M69" s="632"/>
      <c r="P69" s="88">
        <f>'MEMÓRIA DE CÁLCULO'!I87</f>
        <v>8.64</v>
      </c>
      <c r="Q69" s="88">
        <f t="shared" si="16"/>
        <v>-4.32</v>
      </c>
    </row>
    <row r="70" spans="1:17" s="98" customFormat="1" ht="45">
      <c r="A70" s="137" t="s">
        <v>217</v>
      </c>
      <c r="B70" s="200" t="s">
        <v>368</v>
      </c>
      <c r="C70" s="168" t="s">
        <v>225</v>
      </c>
      <c r="D70" s="173" t="s">
        <v>12</v>
      </c>
      <c r="E70" s="367">
        <v>4.32</v>
      </c>
      <c r="F70" s="388">
        <f>' ÚLTIMA MEDIÇÃO - BM Nº5'!BR70</f>
        <v>0</v>
      </c>
      <c r="G70" s="358">
        <f t="shared" si="0"/>
        <v>4.32</v>
      </c>
      <c r="H70" s="367">
        <f>'PLANILHA DA PROPOSTA'!F76</f>
        <v>2.74</v>
      </c>
      <c r="I70" s="372">
        <f>'PLANILHA DA PROPOSTA'!G76</f>
        <v>3.34</v>
      </c>
      <c r="J70" s="367">
        <f t="shared" si="13"/>
        <v>14.4288</v>
      </c>
      <c r="K70" s="379">
        <f t="shared" si="14"/>
        <v>0</v>
      </c>
      <c r="L70" s="181">
        <f t="shared" si="15"/>
        <v>14.4288</v>
      </c>
      <c r="M70" s="632"/>
      <c r="P70" s="88">
        <f>'MEMÓRIA DE CÁLCULO'!I88</f>
        <v>0</v>
      </c>
      <c r="Q70" s="88">
        <f t="shared" si="16"/>
        <v>4.32</v>
      </c>
    </row>
    <row r="71" spans="1:17" s="98" customFormat="1" ht="45">
      <c r="A71" s="137" t="s">
        <v>218</v>
      </c>
      <c r="B71" s="200" t="s">
        <v>368</v>
      </c>
      <c r="C71" s="168" t="s">
        <v>226</v>
      </c>
      <c r="D71" s="173" t="s">
        <v>12</v>
      </c>
      <c r="E71" s="367">
        <v>4.32</v>
      </c>
      <c r="F71" s="388">
        <f>' ÚLTIMA MEDIÇÃO - BM Nº5'!BR71</f>
        <v>0</v>
      </c>
      <c r="G71" s="358">
        <f t="shared" si="0"/>
        <v>4.32</v>
      </c>
      <c r="H71" s="367">
        <f>'PLANILHA DA PROPOSTA'!F77</f>
        <v>113.67</v>
      </c>
      <c r="I71" s="372">
        <f>'PLANILHA DA PROPOSTA'!G77</f>
        <v>138.72</v>
      </c>
      <c r="J71" s="367">
        <f t="shared" si="13"/>
        <v>599.2704</v>
      </c>
      <c r="K71" s="379">
        <f t="shared" si="14"/>
        <v>0</v>
      </c>
      <c r="L71" s="181">
        <f t="shared" si="15"/>
        <v>599.2704</v>
      </c>
      <c r="M71" s="632"/>
      <c r="P71" s="88" t="e">
        <f>'MEMÓRIA DE CÁLCULO'!#REF!</f>
        <v>#REF!</v>
      </c>
      <c r="Q71" s="88" t="e">
        <f t="shared" si="16"/>
        <v>#REF!</v>
      </c>
    </row>
    <row r="72" spans="1:17" s="98" customFormat="1" ht="56.25">
      <c r="A72" s="137" t="s">
        <v>219</v>
      </c>
      <c r="B72" s="200" t="s">
        <v>368</v>
      </c>
      <c r="C72" s="168" t="s">
        <v>227</v>
      </c>
      <c r="D72" s="173" t="s">
        <v>17</v>
      </c>
      <c r="E72" s="367">
        <v>8.64</v>
      </c>
      <c r="F72" s="388">
        <f>' ÚLTIMA MEDIÇÃO - BM Nº5'!BR72</f>
        <v>8.64</v>
      </c>
      <c r="G72" s="358">
        <f t="shared" si="0"/>
        <v>0</v>
      </c>
      <c r="H72" s="367">
        <f>'PLANILHA DA PROPOSTA'!F78</f>
        <v>41.04</v>
      </c>
      <c r="I72" s="372">
        <f>'PLANILHA DA PROPOSTA'!G78</f>
        <v>50.09</v>
      </c>
      <c r="J72" s="367">
        <f t="shared" si="13"/>
        <v>432.77760000000006</v>
      </c>
      <c r="K72" s="379">
        <f t="shared" si="14"/>
        <v>432.77760000000006</v>
      </c>
      <c r="L72" s="181">
        <f t="shared" si="15"/>
        <v>0</v>
      </c>
      <c r="M72" s="632"/>
      <c r="P72" s="88" t="e">
        <f>'MEMÓRIA DE CÁLCULO'!#REF!</f>
        <v>#REF!</v>
      </c>
      <c r="Q72" s="88" t="e">
        <f t="shared" si="16"/>
        <v>#REF!</v>
      </c>
    </row>
    <row r="73" spans="1:17" s="98" customFormat="1" ht="12.75">
      <c r="A73" s="137"/>
      <c r="B73" s="164"/>
      <c r="C73" s="168"/>
      <c r="D73" s="173"/>
      <c r="E73" s="367"/>
      <c r="F73" s="388"/>
      <c r="G73" s="358"/>
      <c r="H73" s="367"/>
      <c r="I73" s="372"/>
      <c r="J73" s="367"/>
      <c r="K73" s="379"/>
      <c r="L73" s="181"/>
      <c r="M73" s="632"/>
      <c r="P73" s="88"/>
      <c r="Q73" s="88"/>
    </row>
    <row r="74" spans="1:18" s="61" customFormat="1" ht="12.75">
      <c r="A74" s="197">
        <v>7</v>
      </c>
      <c r="B74" s="201"/>
      <c r="C74" s="169" t="s">
        <v>21</v>
      </c>
      <c r="D74" s="174"/>
      <c r="E74" s="384"/>
      <c r="F74" s="388"/>
      <c r="G74" s="358"/>
      <c r="H74" s="367"/>
      <c r="I74" s="372"/>
      <c r="J74" s="384">
        <f>SUM(J75:J75)</f>
        <v>2366.7956</v>
      </c>
      <c r="K74" s="389">
        <f>SUM(K75:K75)</f>
        <v>0</v>
      </c>
      <c r="L74" s="375">
        <f>SUM(L75:L75)</f>
        <v>2366.7956</v>
      </c>
      <c r="M74" s="630"/>
      <c r="P74" s="88"/>
      <c r="Q74" s="88"/>
      <c r="R74" s="64"/>
    </row>
    <row r="75" spans="1:18" s="4" customFormat="1" ht="22.5">
      <c r="A75" s="137" t="s">
        <v>220</v>
      </c>
      <c r="B75" s="200" t="s">
        <v>368</v>
      </c>
      <c r="C75" s="168" t="s">
        <v>240</v>
      </c>
      <c r="D75" s="173" t="s">
        <v>12</v>
      </c>
      <c r="E75" s="367">
        <v>9103.06</v>
      </c>
      <c r="F75" s="388">
        <f>' ÚLTIMA MEDIÇÃO - BM Nº5'!BR75</f>
        <v>0</v>
      </c>
      <c r="G75" s="358">
        <f t="shared" si="0"/>
        <v>9103.06</v>
      </c>
      <c r="H75" s="367">
        <f>'PLANILHA DA PROPOSTA'!F81</f>
        <v>0.21</v>
      </c>
      <c r="I75" s="372">
        <f>'PLANILHA DA PROPOSTA'!G81</f>
        <v>0.26</v>
      </c>
      <c r="J75" s="367">
        <f>E75*I75</f>
        <v>2366.7956</v>
      </c>
      <c r="K75" s="379">
        <f>F75*I75</f>
        <v>0</v>
      </c>
      <c r="L75" s="181">
        <f>G75*I75</f>
        <v>2366.7956</v>
      </c>
      <c r="M75" s="63"/>
      <c r="P75" s="88" t="e">
        <f>'MEMÓRIA DE CÁLCULO'!#REF!</f>
        <v>#REF!</v>
      </c>
      <c r="Q75" s="88" t="e">
        <f>E75-P75</f>
        <v>#REF!</v>
      </c>
      <c r="R75" s="64"/>
    </row>
    <row r="76" spans="1:18" s="4" customFormat="1" ht="12.75">
      <c r="A76" s="556"/>
      <c r="B76" s="641"/>
      <c r="C76" s="557"/>
      <c r="D76" s="176"/>
      <c r="E76" s="368"/>
      <c r="F76" s="642"/>
      <c r="G76" s="512"/>
      <c r="H76" s="368"/>
      <c r="I76" s="558"/>
      <c r="J76" s="368"/>
      <c r="K76" s="380"/>
      <c r="L76" s="559"/>
      <c r="M76" s="63"/>
      <c r="P76" s="88"/>
      <c r="Q76" s="88"/>
      <c r="R76" s="64"/>
    </row>
    <row r="77" spans="1:18" s="4" customFormat="1" ht="13.5" thickBot="1">
      <c r="A77" s="556"/>
      <c r="B77" s="203"/>
      <c r="C77" s="557"/>
      <c r="D77" s="176"/>
      <c r="E77" s="368"/>
      <c r="F77" s="380"/>
      <c r="G77" s="512"/>
      <c r="H77" s="368"/>
      <c r="I77" s="558"/>
      <c r="J77" s="368"/>
      <c r="K77" s="380"/>
      <c r="L77" s="559"/>
      <c r="M77" s="63"/>
      <c r="P77" s="88"/>
      <c r="Q77" s="88"/>
      <c r="R77" s="64"/>
    </row>
    <row r="78" spans="1:18" s="4" customFormat="1" ht="16.5" customHeight="1" thickBot="1">
      <c r="A78" s="904" t="s">
        <v>360</v>
      </c>
      <c r="B78" s="905"/>
      <c r="C78" s="905"/>
      <c r="D78" s="905"/>
      <c r="E78" s="905"/>
      <c r="F78" s="905"/>
      <c r="G78" s="905"/>
      <c r="H78" s="905"/>
      <c r="I78" s="906"/>
      <c r="J78" s="571">
        <f>J22+J25+J39+J53+J58+J66+J74</f>
        <v>570087.8586</v>
      </c>
      <c r="K78" s="572">
        <f>(K22+K25+K39+K53+K58+K66+K74)+0.01</f>
        <v>493685.55644599994</v>
      </c>
      <c r="L78" s="573">
        <f>(L22+L25+L39+L53+L58+L66+L74)-0.01</f>
        <v>76402.30215399999</v>
      </c>
      <c r="M78" s="634">
        <f>J78-K78</f>
        <v>76402.30215400009</v>
      </c>
      <c r="P78" s="574"/>
      <c r="Q78" s="574"/>
      <c r="R78" s="64"/>
    </row>
    <row r="79" spans="1:18" s="4" customFormat="1" ht="12.75" hidden="1">
      <c r="A79" s="556"/>
      <c r="B79" s="641"/>
      <c r="C79" s="557"/>
      <c r="D79" s="176"/>
      <c r="E79" s="368"/>
      <c r="F79" s="642"/>
      <c r="G79" s="512"/>
      <c r="H79" s="368"/>
      <c r="I79" s="558"/>
      <c r="J79" s="368"/>
      <c r="K79" s="380"/>
      <c r="L79" s="559"/>
      <c r="M79" s="63"/>
      <c r="P79" s="88"/>
      <c r="Q79" s="88"/>
      <c r="R79" s="64"/>
    </row>
    <row r="80" spans="1:18" s="4" customFormat="1" ht="12.75" hidden="1">
      <c r="A80" s="556"/>
      <c r="B80" s="641"/>
      <c r="C80" s="557"/>
      <c r="D80" s="176"/>
      <c r="E80" s="368"/>
      <c r="F80" s="642"/>
      <c r="G80" s="512"/>
      <c r="H80" s="368"/>
      <c r="I80" s="558"/>
      <c r="J80" s="368"/>
      <c r="K80" s="380"/>
      <c r="L80" s="559"/>
      <c r="M80" s="63"/>
      <c r="P80" s="88"/>
      <c r="Q80" s="88"/>
      <c r="R80" s="64"/>
    </row>
    <row r="81" spans="1:18" s="644" customFormat="1" ht="12.75" hidden="1">
      <c r="A81" s="137"/>
      <c r="B81" s="200"/>
      <c r="C81" s="168"/>
      <c r="D81" s="173"/>
      <c r="E81" s="367"/>
      <c r="F81" s="388"/>
      <c r="G81" s="358"/>
      <c r="H81" s="367"/>
      <c r="I81" s="372"/>
      <c r="J81" s="367"/>
      <c r="K81" s="379"/>
      <c r="L81" s="181"/>
      <c r="M81" s="643"/>
      <c r="P81" s="645"/>
      <c r="Q81" s="645"/>
      <c r="R81" s="646"/>
    </row>
    <row r="82" spans="1:18" s="4" customFormat="1" ht="13.5" hidden="1" thickBot="1">
      <c r="A82" s="560"/>
      <c r="B82" s="561"/>
      <c r="C82" s="562"/>
      <c r="D82" s="563"/>
      <c r="E82" s="564"/>
      <c r="F82" s="565"/>
      <c r="G82" s="566"/>
      <c r="H82" s="564"/>
      <c r="I82" s="567"/>
      <c r="J82" s="564"/>
      <c r="K82" s="565"/>
      <c r="L82" s="568"/>
      <c r="M82" s="63"/>
      <c r="P82" s="88"/>
      <c r="Q82" s="88"/>
      <c r="R82" s="64"/>
    </row>
    <row r="83" spans="1:18" s="4" customFormat="1" ht="12.75" hidden="1">
      <c r="A83" s="513"/>
      <c r="B83" s="514"/>
      <c r="C83" s="515"/>
      <c r="D83" s="516"/>
      <c r="E83" s="517"/>
      <c r="F83" s="518"/>
      <c r="G83" s="519"/>
      <c r="H83" s="520"/>
      <c r="I83" s="521"/>
      <c r="J83" s="520"/>
      <c r="K83" s="522"/>
      <c r="L83" s="523"/>
      <c r="M83" s="63"/>
      <c r="P83" s="88"/>
      <c r="Q83" s="88"/>
      <c r="R83" s="64"/>
    </row>
    <row r="84" spans="1:18" s="4" customFormat="1" ht="22.5" hidden="1">
      <c r="A84" s="541"/>
      <c r="B84" s="542"/>
      <c r="C84" s="508" t="s">
        <v>374</v>
      </c>
      <c r="D84" s="543"/>
      <c r="E84" s="544"/>
      <c r="F84" s="545"/>
      <c r="G84" s="546"/>
      <c r="H84" s="547"/>
      <c r="I84" s="548"/>
      <c r="J84" s="547"/>
      <c r="K84" s="549"/>
      <c r="L84" s="550"/>
      <c r="M84" s="63"/>
      <c r="P84" s="88"/>
      <c r="Q84" s="88"/>
      <c r="R84" s="64"/>
    </row>
    <row r="85" spans="1:18" s="4" customFormat="1" ht="13.5" hidden="1" thickBot="1">
      <c r="A85" s="165"/>
      <c r="B85" s="171"/>
      <c r="C85" s="171"/>
      <c r="D85" s="525"/>
      <c r="E85" s="369"/>
      <c r="F85" s="381"/>
      <c r="G85" s="526"/>
      <c r="H85" s="369"/>
      <c r="I85" s="373"/>
      <c r="J85" s="369"/>
      <c r="K85" s="381"/>
      <c r="L85" s="363"/>
      <c r="M85" s="63"/>
      <c r="P85" s="88"/>
      <c r="Q85" s="88"/>
      <c r="R85" s="64"/>
    </row>
    <row r="86" spans="1:17" s="4" customFormat="1" ht="44.25" customHeight="1" hidden="1" thickBot="1">
      <c r="A86" s="138" t="s">
        <v>0</v>
      </c>
      <c r="B86" s="136" t="s">
        <v>3</v>
      </c>
      <c r="C86" s="69" t="s">
        <v>1</v>
      </c>
      <c r="D86" s="136" t="s">
        <v>2</v>
      </c>
      <c r="E86" s="359" t="s">
        <v>361</v>
      </c>
      <c r="F86" s="386" t="s">
        <v>272</v>
      </c>
      <c r="G86" s="69" t="s">
        <v>358</v>
      </c>
      <c r="H86" s="364" t="s">
        <v>10</v>
      </c>
      <c r="I86" s="74" t="s">
        <v>11</v>
      </c>
      <c r="J86" s="364" t="s">
        <v>361</v>
      </c>
      <c r="K86" s="376" t="s">
        <v>274</v>
      </c>
      <c r="L86" s="360" t="s">
        <v>367</v>
      </c>
      <c r="M86" s="63"/>
      <c r="P86" s="157" t="s">
        <v>45</v>
      </c>
      <c r="Q86" s="158" t="s">
        <v>81</v>
      </c>
    </row>
    <row r="87" spans="1:18" s="4" customFormat="1" ht="12.75" hidden="1">
      <c r="A87" s="513"/>
      <c r="B87" s="524"/>
      <c r="C87" s="515"/>
      <c r="D87" s="527"/>
      <c r="E87" s="528"/>
      <c r="F87" s="529"/>
      <c r="G87" s="530"/>
      <c r="H87" s="520"/>
      <c r="I87" s="521"/>
      <c r="J87" s="520"/>
      <c r="K87" s="522"/>
      <c r="L87" s="523"/>
      <c r="M87" s="63"/>
      <c r="P87" s="88"/>
      <c r="Q87" s="88"/>
      <c r="R87" s="64"/>
    </row>
    <row r="88" spans="1:17" s="61" customFormat="1" ht="18" customHeight="1" hidden="1">
      <c r="A88" s="196">
        <v>1</v>
      </c>
      <c r="B88" s="199" t="s">
        <v>46</v>
      </c>
      <c r="C88" s="167" t="s">
        <v>20</v>
      </c>
      <c r="D88" s="172"/>
      <c r="E88" s="366"/>
      <c r="F88" s="378"/>
      <c r="G88" s="179"/>
      <c r="H88" s="366"/>
      <c r="I88" s="371"/>
      <c r="J88" s="366">
        <f>SUM(J89:J90)</f>
        <v>0</v>
      </c>
      <c r="K88" s="378">
        <f>SUM(K89:K90)</f>
        <v>0</v>
      </c>
      <c r="L88" s="362">
        <f>SUM(L89:L90)</f>
        <v>0</v>
      </c>
      <c r="M88" s="630"/>
      <c r="Q88" s="93"/>
    </row>
    <row r="89" spans="1:17" s="4" customFormat="1" ht="12.75" hidden="1">
      <c r="A89" s="137" t="s">
        <v>13</v>
      </c>
      <c r="B89" s="200" t="s">
        <v>47</v>
      </c>
      <c r="C89" s="168" t="s">
        <v>48</v>
      </c>
      <c r="D89" s="173" t="s">
        <v>12</v>
      </c>
      <c r="E89" s="383">
        <f>G23</f>
        <v>0</v>
      </c>
      <c r="F89" s="388">
        <v>0</v>
      </c>
      <c r="G89" s="358">
        <f>E89+F89</f>
        <v>0</v>
      </c>
      <c r="H89" s="367">
        <f>'PLANILHA DA PROPOSTA'!F29</f>
        <v>306.07</v>
      </c>
      <c r="I89" s="372">
        <f>'PLANILHA DA PROPOSTA'!G29</f>
        <v>373.53</v>
      </c>
      <c r="J89" s="367">
        <f>E89*I89</f>
        <v>0</v>
      </c>
      <c r="K89" s="379">
        <f>F89*I89</f>
        <v>0</v>
      </c>
      <c r="L89" s="181">
        <f>G89*I89</f>
        <v>0</v>
      </c>
      <c r="M89" s="63"/>
      <c r="P89" s="88">
        <f>'MEMÓRIA DE CÁLCULO'!I100</f>
        <v>2.5</v>
      </c>
      <c r="Q89" s="88">
        <f>E89-P89</f>
        <v>-2.5</v>
      </c>
    </row>
    <row r="90" spans="1:17" s="4" customFormat="1" ht="12.75" hidden="1">
      <c r="A90" s="137"/>
      <c r="B90" s="200"/>
      <c r="C90" s="168"/>
      <c r="D90" s="173"/>
      <c r="E90" s="383"/>
      <c r="F90" s="379"/>
      <c r="G90" s="358"/>
      <c r="H90" s="367"/>
      <c r="I90" s="372"/>
      <c r="J90" s="367"/>
      <c r="K90" s="379"/>
      <c r="L90" s="181"/>
      <c r="M90" s="63"/>
      <c r="P90" s="88"/>
      <c r="Q90" s="88"/>
    </row>
    <row r="91" spans="1:17" s="61" customFormat="1" ht="12.75" hidden="1">
      <c r="A91" s="197">
        <v>2</v>
      </c>
      <c r="B91" s="201" t="s">
        <v>46</v>
      </c>
      <c r="C91" s="169" t="s">
        <v>30</v>
      </c>
      <c r="D91" s="174"/>
      <c r="E91" s="383"/>
      <c r="F91" s="389"/>
      <c r="G91" s="358"/>
      <c r="H91" s="367"/>
      <c r="I91" s="372"/>
      <c r="J91" s="384">
        <f>SUM(J92:J104)</f>
        <v>37573.9454</v>
      </c>
      <c r="K91" s="389">
        <f>SUM(K92:K104)</f>
        <v>-27820.424767999997</v>
      </c>
      <c r="L91" s="375">
        <f>SUM(L92:L104)</f>
        <v>9989.559792</v>
      </c>
      <c r="M91" s="635">
        <f>K91+L91</f>
        <v>-17830.864975999997</v>
      </c>
      <c r="P91" s="88"/>
      <c r="Q91" s="88"/>
    </row>
    <row r="92" spans="1:17" s="4" customFormat="1" ht="45" hidden="1">
      <c r="A92" s="137" t="s">
        <v>14</v>
      </c>
      <c r="B92" s="164" t="s">
        <v>368</v>
      </c>
      <c r="C92" s="168" t="s">
        <v>249</v>
      </c>
      <c r="D92" s="164" t="s">
        <v>17</v>
      </c>
      <c r="E92" s="383">
        <f aca="true" t="shared" si="17" ref="E92:E103">G26</f>
        <v>64.55999999999995</v>
      </c>
      <c r="F92" s="379">
        <f>-(E92-' ÚLTIMA MEDIÇÃO - BM Nº5'!BT26)</f>
        <v>-64.55999999999995</v>
      </c>
      <c r="G92" s="358">
        <f aca="true" t="shared" si="18" ref="G92:G142">E92+F92</f>
        <v>0</v>
      </c>
      <c r="H92" s="367">
        <v>0</v>
      </c>
      <c r="I92" s="372">
        <v>0</v>
      </c>
      <c r="J92" s="367">
        <f aca="true" t="shared" si="19" ref="J92:J103">E92*I26</f>
        <v>256.3031999999998</v>
      </c>
      <c r="K92" s="379">
        <f aca="true" t="shared" si="20" ref="K92:K101">F92*I26</f>
        <v>-256.3031999999998</v>
      </c>
      <c r="L92" s="181">
        <f aca="true" t="shared" si="21" ref="L92:L142">G92*I92</f>
        <v>0</v>
      </c>
      <c r="M92" s="63"/>
      <c r="P92" s="88">
        <f>'MEMÓRIA DE CÁLCULO'!I103</f>
        <v>654.72</v>
      </c>
      <c r="Q92" s="88">
        <f aca="true" t="shared" si="22" ref="Q92:Q103">E92-P92</f>
        <v>-590.1600000000001</v>
      </c>
    </row>
    <row r="93" spans="1:17" s="4" customFormat="1" ht="12.75" hidden="1">
      <c r="A93" s="137" t="s">
        <v>15</v>
      </c>
      <c r="B93" s="164" t="s">
        <v>368</v>
      </c>
      <c r="C93" s="168" t="s">
        <v>84</v>
      </c>
      <c r="D93" s="164" t="s">
        <v>12</v>
      </c>
      <c r="E93" s="383">
        <f t="shared" si="17"/>
        <v>40.19999999999999</v>
      </c>
      <c r="F93" s="379">
        <f>-(E93-' ÚLTIMA MEDIÇÃO - BM Nº5'!BT27)</f>
        <v>-40.19999999999999</v>
      </c>
      <c r="G93" s="358">
        <f t="shared" si="18"/>
        <v>0</v>
      </c>
      <c r="H93" s="367">
        <v>0</v>
      </c>
      <c r="I93" s="372">
        <v>0</v>
      </c>
      <c r="J93" s="367">
        <f t="shared" si="19"/>
        <v>829.7279999999998</v>
      </c>
      <c r="K93" s="379">
        <f t="shared" si="20"/>
        <v>-829.7279999999998</v>
      </c>
      <c r="L93" s="181">
        <f t="shared" si="21"/>
        <v>0</v>
      </c>
      <c r="M93" s="63"/>
      <c r="P93" s="88">
        <f>'MEMÓRIA DE CÁLCULO'!I104</f>
        <v>421.8</v>
      </c>
      <c r="Q93" s="88">
        <f t="shared" si="22"/>
        <v>-381.6</v>
      </c>
    </row>
    <row r="94" spans="1:17" s="4" customFormat="1" ht="43.5" customHeight="1" hidden="1">
      <c r="A94" s="137" t="s">
        <v>16</v>
      </c>
      <c r="B94" s="164" t="s">
        <v>368</v>
      </c>
      <c r="C94" s="168" t="s">
        <v>155</v>
      </c>
      <c r="D94" s="164" t="s">
        <v>18</v>
      </c>
      <c r="E94" s="383">
        <f t="shared" si="17"/>
        <v>35.99999999999997</v>
      </c>
      <c r="F94" s="379">
        <f>-(E94-' ÚLTIMA MEDIÇÃO - BM Nº5'!BT28)</f>
        <v>-35.99999999999997</v>
      </c>
      <c r="G94" s="358">
        <f t="shared" si="18"/>
        <v>0</v>
      </c>
      <c r="H94" s="367">
        <v>0</v>
      </c>
      <c r="I94" s="372">
        <v>0</v>
      </c>
      <c r="J94" s="367">
        <f t="shared" si="19"/>
        <v>2852.6399999999976</v>
      </c>
      <c r="K94" s="379">
        <f t="shared" si="20"/>
        <v>-2852.6399999999976</v>
      </c>
      <c r="L94" s="181">
        <f t="shared" si="21"/>
        <v>0</v>
      </c>
      <c r="M94" s="631"/>
      <c r="N94" s="97"/>
      <c r="O94" s="97"/>
      <c r="P94" s="88">
        <f>'MEMÓRIA DE CÁLCULO'!I105</f>
        <v>222</v>
      </c>
      <c r="Q94" s="88">
        <f t="shared" si="22"/>
        <v>-186.00000000000003</v>
      </c>
    </row>
    <row r="95" spans="1:17" s="4" customFormat="1" ht="57" customHeight="1" hidden="1">
      <c r="A95" s="137" t="s">
        <v>56</v>
      </c>
      <c r="B95" s="164" t="s">
        <v>368</v>
      </c>
      <c r="C95" s="168" t="s">
        <v>177</v>
      </c>
      <c r="D95" s="164" t="s">
        <v>18</v>
      </c>
      <c r="E95" s="383">
        <f t="shared" si="17"/>
        <v>12</v>
      </c>
      <c r="F95" s="379">
        <f>-(E95-' ÚLTIMA MEDIÇÃO - BM Nº5'!BT29)</f>
        <v>-12</v>
      </c>
      <c r="G95" s="358">
        <f t="shared" si="18"/>
        <v>0</v>
      </c>
      <c r="H95" s="367">
        <v>0</v>
      </c>
      <c r="I95" s="372">
        <v>0</v>
      </c>
      <c r="J95" s="367">
        <f t="shared" si="19"/>
        <v>1218.6</v>
      </c>
      <c r="K95" s="379">
        <f t="shared" si="20"/>
        <v>-1218.6</v>
      </c>
      <c r="L95" s="181">
        <f t="shared" si="21"/>
        <v>0</v>
      </c>
      <c r="M95" s="631"/>
      <c r="N95" s="97"/>
      <c r="O95" s="97"/>
      <c r="P95" s="88">
        <f>'MEMÓRIA DE CÁLCULO'!I106</f>
        <v>454</v>
      </c>
      <c r="Q95" s="88">
        <f t="shared" si="22"/>
        <v>-442</v>
      </c>
    </row>
    <row r="96" spans="1:17" s="4" customFormat="1" ht="55.5" customHeight="1" hidden="1">
      <c r="A96" s="137" t="s">
        <v>57</v>
      </c>
      <c r="B96" s="164" t="s">
        <v>368</v>
      </c>
      <c r="C96" s="168" t="s">
        <v>157</v>
      </c>
      <c r="D96" s="164" t="s">
        <v>18</v>
      </c>
      <c r="E96" s="383">
        <f t="shared" si="17"/>
        <v>18.999999999999996</v>
      </c>
      <c r="F96" s="379">
        <f>-(E96-' ÚLTIMA MEDIÇÃO - BM Nº5'!BT30)</f>
        <v>-18.999999999999996</v>
      </c>
      <c r="G96" s="358">
        <f t="shared" si="18"/>
        <v>0</v>
      </c>
      <c r="H96" s="367">
        <v>0</v>
      </c>
      <c r="I96" s="372">
        <v>0</v>
      </c>
      <c r="J96" s="367">
        <f t="shared" si="19"/>
        <v>3154.189999999999</v>
      </c>
      <c r="K96" s="379">
        <f t="shared" si="20"/>
        <v>-3154.189999999999</v>
      </c>
      <c r="L96" s="181">
        <f t="shared" si="21"/>
        <v>0</v>
      </c>
      <c r="M96" s="631"/>
      <c r="N96" s="97"/>
      <c r="O96" s="97"/>
      <c r="P96" s="88">
        <f>'MEMÓRIA DE CÁLCULO'!I107</f>
        <v>27</v>
      </c>
      <c r="Q96" s="88">
        <f t="shared" si="22"/>
        <v>-8.000000000000004</v>
      </c>
    </row>
    <row r="97" spans="1:17" s="4" customFormat="1" ht="22.5" hidden="1">
      <c r="A97" s="137" t="s">
        <v>61</v>
      </c>
      <c r="B97" s="164" t="s">
        <v>368</v>
      </c>
      <c r="C97" s="168" t="s">
        <v>86</v>
      </c>
      <c r="D97" s="173" t="s">
        <v>17</v>
      </c>
      <c r="E97" s="383">
        <f t="shared" si="17"/>
        <v>55.139999999999986</v>
      </c>
      <c r="F97" s="379">
        <f>-(E97-' ÚLTIMA MEDIÇÃO - BM Nº5'!BT31)</f>
        <v>-55.139999999999986</v>
      </c>
      <c r="G97" s="358">
        <f t="shared" si="18"/>
        <v>0</v>
      </c>
      <c r="H97" s="367">
        <v>0</v>
      </c>
      <c r="I97" s="372">
        <v>0</v>
      </c>
      <c r="J97" s="367">
        <f t="shared" si="19"/>
        <v>1518.0041999999996</v>
      </c>
      <c r="K97" s="379">
        <f t="shared" si="20"/>
        <v>-1518.0041999999996</v>
      </c>
      <c r="L97" s="181">
        <f t="shared" si="21"/>
        <v>0</v>
      </c>
      <c r="M97" s="63"/>
      <c r="P97" s="88">
        <f>'MEMÓRIA DE CÁLCULO'!I108</f>
        <v>574.38</v>
      </c>
      <c r="Q97" s="88">
        <f t="shared" si="22"/>
        <v>-519.24</v>
      </c>
    </row>
    <row r="98" spans="1:17" s="4" customFormat="1" ht="45.75" customHeight="1" hidden="1">
      <c r="A98" s="137" t="s">
        <v>90</v>
      </c>
      <c r="B98" s="164" t="s">
        <v>368</v>
      </c>
      <c r="C98" s="168" t="s">
        <v>88</v>
      </c>
      <c r="D98" s="164" t="s">
        <v>26</v>
      </c>
      <c r="E98" s="383">
        <f t="shared" si="17"/>
        <v>21</v>
      </c>
      <c r="F98" s="379">
        <v>-21</v>
      </c>
      <c r="G98" s="358">
        <f t="shared" si="18"/>
        <v>0</v>
      </c>
      <c r="H98" s="367">
        <v>0</v>
      </c>
      <c r="I98" s="372">
        <f aca="true" t="shared" si="23" ref="I98:I103">(H98*$L$16)+H98</f>
        <v>0</v>
      </c>
      <c r="J98" s="367">
        <f t="shared" si="19"/>
        <v>14990.009999999998</v>
      </c>
      <c r="K98" s="379">
        <f t="shared" si="20"/>
        <v>-14990.009999999998</v>
      </c>
      <c r="L98" s="181">
        <f>G98*I98</f>
        <v>0</v>
      </c>
      <c r="M98" s="63"/>
      <c r="P98" s="88">
        <f>'MEMÓRIA DE CÁLCULO'!I109</f>
        <v>15</v>
      </c>
      <c r="Q98" s="88">
        <f t="shared" si="22"/>
        <v>6</v>
      </c>
    </row>
    <row r="99" spans="1:17" s="4" customFormat="1" ht="22.5" hidden="1">
      <c r="A99" s="137" t="s">
        <v>91</v>
      </c>
      <c r="B99" s="164" t="s">
        <v>368</v>
      </c>
      <c r="C99" s="168" t="s">
        <v>89</v>
      </c>
      <c r="D99" s="164" t="s">
        <v>26</v>
      </c>
      <c r="E99" s="383">
        <f t="shared" si="17"/>
        <v>5</v>
      </c>
      <c r="F99" s="379">
        <v>-5</v>
      </c>
      <c r="G99" s="358">
        <f t="shared" si="18"/>
        <v>0</v>
      </c>
      <c r="H99" s="367">
        <v>0</v>
      </c>
      <c r="I99" s="372">
        <f t="shared" si="23"/>
        <v>0</v>
      </c>
      <c r="J99" s="367">
        <f t="shared" si="19"/>
        <v>5855.8</v>
      </c>
      <c r="K99" s="379">
        <f t="shared" si="20"/>
        <v>-5855.8</v>
      </c>
      <c r="L99" s="181">
        <f t="shared" si="21"/>
        <v>0</v>
      </c>
      <c r="M99" s="62"/>
      <c r="N99" s="63"/>
      <c r="O99" s="63"/>
      <c r="P99" s="88">
        <f>'MEMÓRIA DE CÁLCULO'!I110</f>
        <v>5</v>
      </c>
      <c r="Q99" s="88">
        <f t="shared" si="22"/>
        <v>0</v>
      </c>
    </row>
    <row r="100" spans="1:17" s="4" customFormat="1" ht="22.5" hidden="1">
      <c r="A100" s="137" t="s">
        <v>92</v>
      </c>
      <c r="B100" s="164" t="s">
        <v>368</v>
      </c>
      <c r="C100" s="168" t="s">
        <v>158</v>
      </c>
      <c r="D100" s="164" t="s">
        <v>26</v>
      </c>
      <c r="E100" s="383">
        <f t="shared" si="17"/>
        <v>2</v>
      </c>
      <c r="F100" s="379">
        <v>-2</v>
      </c>
      <c r="G100" s="358">
        <f t="shared" si="18"/>
        <v>0</v>
      </c>
      <c r="H100" s="367">
        <v>0</v>
      </c>
      <c r="I100" s="372">
        <f t="shared" si="23"/>
        <v>0</v>
      </c>
      <c r="J100" s="367">
        <f t="shared" si="19"/>
        <v>2918.34</v>
      </c>
      <c r="K100" s="379">
        <f t="shared" si="20"/>
        <v>-2918.34</v>
      </c>
      <c r="L100" s="181">
        <f t="shared" si="21"/>
        <v>0</v>
      </c>
      <c r="M100" s="63"/>
      <c r="P100" s="88">
        <f>'MEMÓRIA DE CÁLCULO'!I111</f>
        <v>2</v>
      </c>
      <c r="Q100" s="88">
        <f t="shared" si="22"/>
        <v>0</v>
      </c>
    </row>
    <row r="101" spans="1:17" s="4" customFormat="1" ht="33.75" hidden="1">
      <c r="A101" s="137" t="s">
        <v>130</v>
      </c>
      <c r="B101" s="164" t="s">
        <v>368</v>
      </c>
      <c r="C101" s="168" t="s">
        <v>253</v>
      </c>
      <c r="D101" s="164" t="s">
        <v>26</v>
      </c>
      <c r="E101" s="383">
        <f t="shared" si="17"/>
        <v>7</v>
      </c>
      <c r="F101" s="379">
        <v>-7</v>
      </c>
      <c r="G101" s="358">
        <f t="shared" si="18"/>
        <v>0</v>
      </c>
      <c r="H101" s="367">
        <v>0</v>
      </c>
      <c r="I101" s="372">
        <f t="shared" si="23"/>
        <v>0</v>
      </c>
      <c r="J101" s="367">
        <f t="shared" si="19"/>
        <v>2992.4300000000003</v>
      </c>
      <c r="K101" s="379">
        <f t="shared" si="20"/>
        <v>-2992.4300000000003</v>
      </c>
      <c r="L101" s="181">
        <f>G101*I101</f>
        <v>0</v>
      </c>
      <c r="M101" s="63"/>
      <c r="P101" s="88">
        <f>'MEMÓRIA DE CÁLCULO'!I112</f>
        <v>7</v>
      </c>
      <c r="Q101" s="88">
        <f>E101-P101</f>
        <v>0</v>
      </c>
    </row>
    <row r="102" spans="1:17" s="4" customFormat="1" ht="56.25" hidden="1">
      <c r="A102" s="137" t="s">
        <v>176</v>
      </c>
      <c r="B102" s="164">
        <v>94273</v>
      </c>
      <c r="C102" s="168" t="s">
        <v>376</v>
      </c>
      <c r="D102" s="164" t="s">
        <v>18</v>
      </c>
      <c r="E102" s="383">
        <f t="shared" si="17"/>
        <v>30</v>
      </c>
      <c r="F102" s="379">
        <v>190</v>
      </c>
      <c r="G102" s="358">
        <f t="shared" si="18"/>
        <v>220</v>
      </c>
      <c r="H102" s="367">
        <v>33.43</v>
      </c>
      <c r="I102" s="372">
        <f t="shared" si="23"/>
        <v>40.797972</v>
      </c>
      <c r="J102" s="367">
        <f t="shared" si="19"/>
        <v>987.9</v>
      </c>
      <c r="K102" s="379">
        <f>F102*I102</f>
        <v>7751.614680000001</v>
      </c>
      <c r="L102" s="181">
        <f>G102*I102</f>
        <v>8975.55384</v>
      </c>
      <c r="M102" s="636">
        <f>'MEMÓRIA DE CÁLCULO'!I37</f>
        <v>220</v>
      </c>
      <c r="N102" s="63"/>
      <c r="O102" s="63"/>
      <c r="P102" s="88">
        <f>'MEMÓRIA DE CÁLCULO'!I113</f>
        <v>220</v>
      </c>
      <c r="Q102" s="88">
        <f t="shared" si="22"/>
        <v>-190</v>
      </c>
    </row>
    <row r="103" spans="1:17" s="4" customFormat="1" ht="33.75" hidden="1">
      <c r="A103" s="137" t="s">
        <v>252</v>
      </c>
      <c r="B103" s="164">
        <v>94287</v>
      </c>
      <c r="C103" s="168" t="s">
        <v>377</v>
      </c>
      <c r="D103" s="164" t="s">
        <v>18</v>
      </c>
      <c r="E103" s="383">
        <f t="shared" si="17"/>
        <v>0</v>
      </c>
      <c r="F103" s="379">
        <v>0</v>
      </c>
      <c r="G103" s="358">
        <f t="shared" si="18"/>
        <v>0</v>
      </c>
      <c r="H103" s="367">
        <v>26.97</v>
      </c>
      <c r="I103" s="372">
        <f t="shared" si="23"/>
        <v>32.914187999999996</v>
      </c>
      <c r="J103" s="367">
        <f t="shared" si="19"/>
        <v>0</v>
      </c>
      <c r="K103" s="379">
        <f>F103*I103</f>
        <v>0</v>
      </c>
      <c r="L103" s="181">
        <f>G103*I103</f>
        <v>0</v>
      </c>
      <c r="M103" s="63"/>
      <c r="P103" s="88">
        <f>'MEMÓRIA DE CÁLCULO'!I114</f>
        <v>840.5</v>
      </c>
      <c r="Q103" s="88">
        <f t="shared" si="22"/>
        <v>-840.5</v>
      </c>
    </row>
    <row r="104" spans="1:17" s="4" customFormat="1" ht="33.75" hidden="1">
      <c r="A104" s="137" t="s">
        <v>371</v>
      </c>
      <c r="B104" s="164">
        <v>83716</v>
      </c>
      <c r="C104" s="168" t="s">
        <v>378</v>
      </c>
      <c r="D104" s="164" t="s">
        <v>26</v>
      </c>
      <c r="E104" s="383">
        <v>0</v>
      </c>
      <c r="F104" s="379">
        <v>3</v>
      </c>
      <c r="G104" s="358">
        <f t="shared" si="18"/>
        <v>3</v>
      </c>
      <c r="H104" s="367">
        <v>276.96</v>
      </c>
      <c r="I104" s="372">
        <f>(H104*L16)+H104</f>
        <v>338.001984</v>
      </c>
      <c r="J104" s="367">
        <f>E104*I104</f>
        <v>0</v>
      </c>
      <c r="K104" s="379">
        <f>F104*I104</f>
        <v>1014.005952</v>
      </c>
      <c r="L104" s="181">
        <f>G104*I104</f>
        <v>1014.005952</v>
      </c>
      <c r="M104" s="63"/>
      <c r="P104" s="88">
        <f>'MEMÓRIA DE CÁLCULO'!I116</f>
        <v>0</v>
      </c>
      <c r="Q104" s="88">
        <f>E104-P104</f>
        <v>0</v>
      </c>
    </row>
    <row r="105" spans="1:17" s="4" customFormat="1" ht="12.75" hidden="1">
      <c r="A105" s="137"/>
      <c r="B105" s="164"/>
      <c r="C105" s="168"/>
      <c r="D105" s="164"/>
      <c r="E105" s="383"/>
      <c r="F105" s="379"/>
      <c r="G105" s="358"/>
      <c r="H105" s="367"/>
      <c r="I105" s="372"/>
      <c r="J105" s="367"/>
      <c r="K105" s="379"/>
      <c r="L105" s="181"/>
      <c r="M105" s="63"/>
      <c r="P105" s="88"/>
      <c r="Q105" s="88"/>
    </row>
    <row r="106" spans="1:17" s="61" customFormat="1" ht="12.75" hidden="1">
      <c r="A106" s="197">
        <v>3</v>
      </c>
      <c r="B106" s="201" t="s">
        <v>46</v>
      </c>
      <c r="C106" s="169" t="s">
        <v>179</v>
      </c>
      <c r="D106" s="174"/>
      <c r="E106" s="383"/>
      <c r="F106" s="389"/>
      <c r="G106" s="358"/>
      <c r="H106" s="367"/>
      <c r="I106" s="372"/>
      <c r="J106" s="384"/>
      <c r="K106" s="389"/>
      <c r="L106" s="375"/>
      <c r="M106" s="630"/>
      <c r="P106" s="88"/>
      <c r="Q106" s="88"/>
    </row>
    <row r="107" spans="1:17" s="4" customFormat="1" ht="56.25" hidden="1">
      <c r="A107" s="137" t="s">
        <v>24</v>
      </c>
      <c r="B107" s="164" t="s">
        <v>184</v>
      </c>
      <c r="C107" s="168" t="s">
        <v>238</v>
      </c>
      <c r="D107" s="173" t="s">
        <v>17</v>
      </c>
      <c r="E107" s="383">
        <f aca="true" t="shared" si="24" ref="E107:E118">G40</f>
        <v>0</v>
      </c>
      <c r="F107" s="379">
        <v>0</v>
      </c>
      <c r="G107" s="358">
        <f t="shared" si="18"/>
        <v>0</v>
      </c>
      <c r="H107" s="367">
        <f>'PLANILHA DA PROPOSTA'!F46</f>
        <v>2.99</v>
      </c>
      <c r="I107" s="372">
        <f>'PLANILHA DA PROPOSTA'!G46</f>
        <v>3.65</v>
      </c>
      <c r="J107" s="367">
        <f aca="true" t="shared" si="25" ref="J107:J118">E107*I107</f>
        <v>0</v>
      </c>
      <c r="K107" s="379">
        <f aca="true" t="shared" si="26" ref="K107:K118">F107*I40</f>
        <v>0</v>
      </c>
      <c r="L107" s="181">
        <f t="shared" si="21"/>
        <v>0</v>
      </c>
      <c r="M107" s="63"/>
      <c r="P107" s="88">
        <f>'MEMÓRIA DE CÁLCULO'!I44</f>
        <v>2092.9125</v>
      </c>
      <c r="Q107" s="88">
        <f aca="true" t="shared" si="27" ref="Q107:Q118">E107-P107</f>
        <v>-2092.9125</v>
      </c>
    </row>
    <row r="108" spans="1:17" s="4" customFormat="1" ht="33.75" hidden="1">
      <c r="A108" s="137" t="s">
        <v>58</v>
      </c>
      <c r="B108" s="164">
        <v>92970</v>
      </c>
      <c r="C108" s="168" t="s">
        <v>221</v>
      </c>
      <c r="D108" s="173" t="s">
        <v>12</v>
      </c>
      <c r="E108" s="383">
        <f t="shared" si="24"/>
        <v>0</v>
      </c>
      <c r="F108" s="379">
        <v>0</v>
      </c>
      <c r="G108" s="358">
        <f t="shared" si="18"/>
        <v>0</v>
      </c>
      <c r="H108" s="367">
        <f>'PLANILHA DA PROPOSTA'!F47</f>
        <v>8.6</v>
      </c>
      <c r="I108" s="372">
        <f>'PLANILHA DA PROPOSTA'!G47</f>
        <v>10.5</v>
      </c>
      <c r="J108" s="367">
        <f t="shared" si="25"/>
        <v>0</v>
      </c>
      <c r="K108" s="379">
        <f t="shared" si="26"/>
        <v>0</v>
      </c>
      <c r="L108" s="181">
        <f t="shared" si="21"/>
        <v>0</v>
      </c>
      <c r="M108" s="63"/>
      <c r="P108" s="88">
        <f>'MEMÓRIA DE CÁLCULO'!I46</f>
        <v>54.672000000000004</v>
      </c>
      <c r="Q108" s="88">
        <f>E108-P108</f>
        <v>-54.672000000000004</v>
      </c>
    </row>
    <row r="109" spans="1:17" s="4" customFormat="1" ht="33.75" hidden="1">
      <c r="A109" s="137" t="s">
        <v>27</v>
      </c>
      <c r="B109" s="164">
        <v>72888</v>
      </c>
      <c r="C109" s="168" t="s">
        <v>186</v>
      </c>
      <c r="D109" s="173" t="s">
        <v>17</v>
      </c>
      <c r="E109" s="383">
        <f t="shared" si="24"/>
        <v>0</v>
      </c>
      <c r="F109" s="379">
        <v>0</v>
      </c>
      <c r="G109" s="358">
        <f t="shared" si="18"/>
        <v>0</v>
      </c>
      <c r="H109" s="367">
        <f>'PLANILHA DA PROPOSTA'!F48</f>
        <v>0.85</v>
      </c>
      <c r="I109" s="372">
        <f>'PLANILHA DA PROPOSTA'!G48</f>
        <v>1.04</v>
      </c>
      <c r="J109" s="367">
        <f t="shared" si="25"/>
        <v>0</v>
      </c>
      <c r="K109" s="379">
        <f t="shared" si="26"/>
        <v>0</v>
      </c>
      <c r="L109" s="181">
        <f t="shared" si="21"/>
        <v>0</v>
      </c>
      <c r="M109" s="63"/>
      <c r="N109" s="63"/>
      <c r="O109" s="63"/>
      <c r="P109" s="88">
        <f>'MEMÓRIA DE CÁLCULO'!I48</f>
        <v>2106.5805</v>
      </c>
      <c r="Q109" s="88">
        <f t="shared" si="27"/>
        <v>-2106.5805</v>
      </c>
    </row>
    <row r="110" spans="1:17" s="4" customFormat="1" ht="22.5" hidden="1">
      <c r="A110" s="137" t="s">
        <v>187</v>
      </c>
      <c r="B110" s="164">
        <v>83358</v>
      </c>
      <c r="C110" s="168" t="s">
        <v>190</v>
      </c>
      <c r="D110" s="173" t="s">
        <v>180</v>
      </c>
      <c r="E110" s="383">
        <f t="shared" si="24"/>
        <v>0</v>
      </c>
      <c r="F110" s="379">
        <v>0</v>
      </c>
      <c r="G110" s="358">
        <f t="shared" si="18"/>
        <v>0</v>
      </c>
      <c r="H110" s="367">
        <f>'PLANILHA DA PROPOSTA'!F49</f>
        <v>1.22</v>
      </c>
      <c r="I110" s="372">
        <f>'PLANILHA DA PROPOSTA'!G49</f>
        <v>1.49</v>
      </c>
      <c r="J110" s="367">
        <f t="shared" si="25"/>
        <v>0</v>
      </c>
      <c r="K110" s="379">
        <f t="shared" si="26"/>
        <v>0</v>
      </c>
      <c r="L110" s="181">
        <f t="shared" si="21"/>
        <v>0</v>
      </c>
      <c r="M110" s="63"/>
      <c r="N110" s="63"/>
      <c r="O110" s="63"/>
      <c r="P110" s="88">
        <f>'MEMÓRIA DE CÁLCULO'!I50</f>
        <v>3159.87075</v>
      </c>
      <c r="Q110" s="88">
        <f t="shared" si="27"/>
        <v>-3159.87075</v>
      </c>
    </row>
    <row r="111" spans="1:19" s="4" customFormat="1" ht="22.5" hidden="1">
      <c r="A111" s="137" t="s">
        <v>188</v>
      </c>
      <c r="B111" s="137">
        <v>72961</v>
      </c>
      <c r="C111" s="168" t="s">
        <v>51</v>
      </c>
      <c r="D111" s="173" t="s">
        <v>12</v>
      </c>
      <c r="E111" s="383">
        <f t="shared" si="24"/>
        <v>0</v>
      </c>
      <c r="F111" s="379">
        <v>0</v>
      </c>
      <c r="G111" s="358">
        <f t="shared" si="18"/>
        <v>0</v>
      </c>
      <c r="H111" s="367">
        <f>'PLANILHA DA PROPOSTA'!F50</f>
        <v>1.07</v>
      </c>
      <c r="I111" s="372">
        <f>'PLANILHA DA PROPOSTA'!G50</f>
        <v>1.31</v>
      </c>
      <c r="J111" s="367">
        <f t="shared" si="25"/>
        <v>0</v>
      </c>
      <c r="K111" s="379">
        <f t="shared" si="26"/>
        <v>0</v>
      </c>
      <c r="L111" s="181">
        <f t="shared" si="21"/>
        <v>0</v>
      </c>
      <c r="M111" s="63"/>
      <c r="N111" s="63"/>
      <c r="O111" s="63"/>
      <c r="P111" s="88">
        <f>'MEMÓRIA DE CÁLCULO'!I51</f>
        <v>8426.322</v>
      </c>
      <c r="Q111" s="88">
        <f t="shared" si="27"/>
        <v>-8426.322</v>
      </c>
      <c r="R111" s="192"/>
      <c r="S111" s="193"/>
    </row>
    <row r="112" spans="1:17" s="4" customFormat="1" ht="45" hidden="1">
      <c r="A112" s="137" t="s">
        <v>189</v>
      </c>
      <c r="B112" s="164" t="s">
        <v>184</v>
      </c>
      <c r="C112" s="168" t="s">
        <v>185</v>
      </c>
      <c r="D112" s="173" t="s">
        <v>17</v>
      </c>
      <c r="E112" s="383">
        <f t="shared" si="24"/>
        <v>0</v>
      </c>
      <c r="F112" s="379">
        <v>0</v>
      </c>
      <c r="G112" s="358">
        <f t="shared" si="18"/>
        <v>0</v>
      </c>
      <c r="H112" s="367">
        <f>'PLANILHA DA PROPOSTA'!F51</f>
        <v>2.99</v>
      </c>
      <c r="I112" s="372">
        <f>'PLANILHA DA PROPOSTA'!G51</f>
        <v>3.65</v>
      </c>
      <c r="J112" s="367">
        <f t="shared" si="25"/>
        <v>0</v>
      </c>
      <c r="K112" s="379">
        <f t="shared" si="26"/>
        <v>0</v>
      </c>
      <c r="L112" s="181">
        <f t="shared" si="21"/>
        <v>0</v>
      </c>
      <c r="M112" s="63"/>
      <c r="N112" s="63"/>
      <c r="O112" s="63"/>
      <c r="P112" s="88">
        <f>'MEMÓRIA DE CÁLCULO'!I52</f>
        <v>1685.2644</v>
      </c>
      <c r="Q112" s="88">
        <f t="shared" si="27"/>
        <v>-1685.2644</v>
      </c>
    </row>
    <row r="113" spans="1:17" s="4" customFormat="1" ht="33.75" hidden="1">
      <c r="A113" s="137" t="s">
        <v>191</v>
      </c>
      <c r="B113" s="164">
        <v>72841</v>
      </c>
      <c r="C113" s="168" t="s">
        <v>199</v>
      </c>
      <c r="D113" s="173" t="s">
        <v>181</v>
      </c>
      <c r="E113" s="383">
        <f t="shared" si="24"/>
        <v>0</v>
      </c>
      <c r="F113" s="379">
        <v>0</v>
      </c>
      <c r="G113" s="358">
        <f t="shared" si="18"/>
        <v>0</v>
      </c>
      <c r="H113" s="367">
        <f>'PLANILHA DA PROPOSTA'!F52</f>
        <v>0.81</v>
      </c>
      <c r="I113" s="372">
        <f>'PLANILHA DA PROPOSTA'!G52</f>
        <v>0.99</v>
      </c>
      <c r="J113" s="367">
        <f t="shared" si="25"/>
        <v>0</v>
      </c>
      <c r="K113" s="379">
        <f t="shared" si="26"/>
        <v>0</v>
      </c>
      <c r="L113" s="181">
        <f t="shared" si="21"/>
        <v>0</v>
      </c>
      <c r="M113" s="63"/>
      <c r="N113" s="63"/>
      <c r="O113" s="63"/>
      <c r="P113" s="88">
        <f>'MEMÓRIA DE CÁLCULO'!I53</f>
        <v>10516.049856000001</v>
      </c>
      <c r="Q113" s="88">
        <f t="shared" si="27"/>
        <v>-10516.049856000001</v>
      </c>
    </row>
    <row r="114" spans="1:17" s="4" customFormat="1" ht="33.75" hidden="1">
      <c r="A114" s="137" t="s">
        <v>192</v>
      </c>
      <c r="B114" s="164">
        <v>72911</v>
      </c>
      <c r="C114" s="168" t="s">
        <v>237</v>
      </c>
      <c r="D114" s="173" t="s">
        <v>17</v>
      </c>
      <c r="E114" s="383">
        <f t="shared" si="24"/>
        <v>0</v>
      </c>
      <c r="F114" s="379">
        <v>0</v>
      </c>
      <c r="G114" s="358">
        <f t="shared" si="18"/>
        <v>0</v>
      </c>
      <c r="H114" s="367">
        <f>'PLANILHA DA PROPOSTA'!F53</f>
        <v>8.25</v>
      </c>
      <c r="I114" s="372">
        <f>'PLANILHA DA PROPOSTA'!G53</f>
        <v>10.07</v>
      </c>
      <c r="J114" s="367">
        <f t="shared" si="25"/>
        <v>0</v>
      </c>
      <c r="K114" s="379">
        <f t="shared" si="26"/>
        <v>0</v>
      </c>
      <c r="L114" s="181">
        <f t="shared" si="21"/>
        <v>0</v>
      </c>
      <c r="M114" s="63"/>
      <c r="N114" s="63"/>
      <c r="O114" s="63"/>
      <c r="P114" s="88">
        <f>'MEMÓRIA DE CÁLCULO'!I54</f>
        <v>1685.2644</v>
      </c>
      <c r="Q114" s="88">
        <f t="shared" si="27"/>
        <v>-1685.2644</v>
      </c>
    </row>
    <row r="115" spans="1:18" s="4" customFormat="1" ht="22.5" hidden="1">
      <c r="A115" s="137" t="s">
        <v>193</v>
      </c>
      <c r="B115" s="164">
        <v>72843</v>
      </c>
      <c r="C115" s="168" t="s">
        <v>236</v>
      </c>
      <c r="D115" s="173" t="s">
        <v>181</v>
      </c>
      <c r="E115" s="383">
        <f t="shared" si="24"/>
        <v>0</v>
      </c>
      <c r="F115" s="379">
        <v>0</v>
      </c>
      <c r="G115" s="358">
        <f t="shared" si="18"/>
        <v>0</v>
      </c>
      <c r="H115" s="367">
        <f>'PLANILHA DA PROPOSTA'!F54</f>
        <v>0.55</v>
      </c>
      <c r="I115" s="372">
        <f>'PLANILHA DA PROPOSTA'!G54</f>
        <v>0.67</v>
      </c>
      <c r="J115" s="367">
        <f t="shared" si="25"/>
        <v>0</v>
      </c>
      <c r="K115" s="379">
        <f t="shared" si="26"/>
        <v>0</v>
      </c>
      <c r="L115" s="181">
        <f t="shared" si="21"/>
        <v>0</v>
      </c>
      <c r="M115" s="63"/>
      <c r="N115" s="63"/>
      <c r="O115" s="63"/>
      <c r="P115" s="88">
        <f>'MEMÓRIA DE CÁLCULO'!I55</f>
        <v>700.92817008</v>
      </c>
      <c r="Q115" s="88">
        <f t="shared" si="27"/>
        <v>-700.92817008</v>
      </c>
      <c r="R115" s="194"/>
    </row>
    <row r="116" spans="1:18" s="4" customFormat="1" ht="22.5" hidden="1">
      <c r="A116" s="137" t="s">
        <v>194</v>
      </c>
      <c r="B116" s="164">
        <v>72945</v>
      </c>
      <c r="C116" s="168" t="s">
        <v>197</v>
      </c>
      <c r="D116" s="173" t="s">
        <v>12</v>
      </c>
      <c r="E116" s="383">
        <f t="shared" si="24"/>
        <v>0</v>
      </c>
      <c r="F116" s="379">
        <v>0</v>
      </c>
      <c r="G116" s="358">
        <f t="shared" si="18"/>
        <v>0</v>
      </c>
      <c r="H116" s="367">
        <f>'PLANILHA DA PROPOSTA'!F55</f>
        <v>4.16</v>
      </c>
      <c r="I116" s="372">
        <f>'PLANILHA DA PROPOSTA'!G55</f>
        <v>5.08</v>
      </c>
      <c r="J116" s="367">
        <f t="shared" si="25"/>
        <v>0</v>
      </c>
      <c r="K116" s="379">
        <f t="shared" si="26"/>
        <v>0</v>
      </c>
      <c r="L116" s="181">
        <f t="shared" si="21"/>
        <v>0</v>
      </c>
      <c r="M116" s="63"/>
      <c r="N116" s="63"/>
      <c r="O116" s="63"/>
      <c r="P116" s="88">
        <f>'MEMÓRIA DE CÁLCULO'!I57</f>
        <v>8090.122</v>
      </c>
      <c r="Q116" s="88">
        <f t="shared" si="27"/>
        <v>-8090.122</v>
      </c>
      <c r="R116" s="194"/>
    </row>
    <row r="117" spans="1:18" s="4" customFormat="1" ht="22.5" hidden="1">
      <c r="A117" s="137" t="s">
        <v>195</v>
      </c>
      <c r="B117" s="164">
        <v>72840</v>
      </c>
      <c r="C117" s="168" t="s">
        <v>250</v>
      </c>
      <c r="D117" s="173" t="s">
        <v>181</v>
      </c>
      <c r="E117" s="383">
        <f t="shared" si="24"/>
        <v>0</v>
      </c>
      <c r="F117" s="379">
        <v>0</v>
      </c>
      <c r="G117" s="358">
        <f t="shared" si="18"/>
        <v>0</v>
      </c>
      <c r="H117" s="367">
        <f>'PLANILHA DA PROPOSTA'!F56</f>
        <v>0.42</v>
      </c>
      <c r="I117" s="372">
        <f>'PLANILHA DA PROPOSTA'!G56</f>
        <v>0.51</v>
      </c>
      <c r="J117" s="367">
        <f t="shared" si="25"/>
        <v>0</v>
      </c>
      <c r="K117" s="379">
        <f t="shared" si="26"/>
        <v>0</v>
      </c>
      <c r="L117" s="181">
        <f t="shared" si="21"/>
        <v>0</v>
      </c>
      <c r="M117" s="63"/>
      <c r="N117" s="63"/>
      <c r="O117" s="63"/>
      <c r="P117" s="88">
        <f>'MEMÓRIA DE CÁLCULO'!I59</f>
        <v>56074.2536064</v>
      </c>
      <c r="Q117" s="88">
        <f t="shared" si="27"/>
        <v>-56074.2536064</v>
      </c>
      <c r="R117" s="194"/>
    </row>
    <row r="118" spans="1:18" s="4" customFormat="1" ht="33.75" hidden="1">
      <c r="A118" s="137" t="s">
        <v>196</v>
      </c>
      <c r="B118" s="164">
        <v>72965</v>
      </c>
      <c r="C118" s="168" t="s">
        <v>251</v>
      </c>
      <c r="D118" s="173" t="s">
        <v>198</v>
      </c>
      <c r="E118" s="383">
        <f t="shared" si="24"/>
        <v>0</v>
      </c>
      <c r="F118" s="379">
        <v>0</v>
      </c>
      <c r="G118" s="358">
        <f t="shared" si="18"/>
        <v>0</v>
      </c>
      <c r="H118" s="367">
        <f>'PLANILHA DA PROPOSTA'!F57</f>
        <v>195.08</v>
      </c>
      <c r="I118" s="372">
        <f>'PLANILHA DA PROPOSTA'!G57</f>
        <v>238.08</v>
      </c>
      <c r="J118" s="367">
        <f t="shared" si="25"/>
        <v>0</v>
      </c>
      <c r="K118" s="379">
        <f t="shared" si="26"/>
        <v>0</v>
      </c>
      <c r="L118" s="181">
        <f t="shared" si="21"/>
        <v>0</v>
      </c>
      <c r="M118" s="280"/>
      <c r="N118" s="281" t="s">
        <v>213</v>
      </c>
      <c r="O118" s="281"/>
      <c r="P118" s="88">
        <f>'MEMÓRIA DE CÁLCULO'!I60</f>
        <v>776.651712</v>
      </c>
      <c r="Q118" s="88">
        <f t="shared" si="27"/>
        <v>-776.651712</v>
      </c>
      <c r="R118" s="194"/>
    </row>
    <row r="119" spans="1:18" s="4" customFormat="1" ht="12.75" hidden="1">
      <c r="A119" s="137"/>
      <c r="B119" s="164"/>
      <c r="C119" s="168"/>
      <c r="D119" s="173"/>
      <c r="E119" s="383"/>
      <c r="F119" s="379"/>
      <c r="G119" s="358"/>
      <c r="H119" s="367"/>
      <c r="I119" s="372"/>
      <c r="J119" s="367"/>
      <c r="K119" s="379"/>
      <c r="L119" s="181"/>
      <c r="M119" s="63"/>
      <c r="P119" s="88"/>
      <c r="Q119" s="88"/>
      <c r="R119" s="194"/>
    </row>
    <row r="120" spans="1:18" s="61" customFormat="1" ht="12.75" hidden="1">
      <c r="A120" s="197">
        <v>4</v>
      </c>
      <c r="B120" s="201" t="s">
        <v>46</v>
      </c>
      <c r="C120" s="169" t="s">
        <v>31</v>
      </c>
      <c r="D120" s="174"/>
      <c r="E120" s="383"/>
      <c r="F120" s="389"/>
      <c r="G120" s="358"/>
      <c r="H120" s="367"/>
      <c r="I120" s="372"/>
      <c r="J120" s="384">
        <f>SUM(J121:J124)</f>
        <v>28094.909554</v>
      </c>
      <c r="K120" s="389">
        <f>SUM(K121:K124)</f>
        <v>15557.83481556</v>
      </c>
      <c r="L120" s="375">
        <f>SUM(L121:L124)</f>
        <v>27672.333944129998</v>
      </c>
      <c r="M120" s="630"/>
      <c r="P120" s="88"/>
      <c r="Q120" s="88"/>
      <c r="R120" s="64"/>
    </row>
    <row r="121" spans="1:18" s="4" customFormat="1" ht="45" hidden="1">
      <c r="A121" s="137" t="s">
        <v>25</v>
      </c>
      <c r="B121" s="164">
        <v>96385</v>
      </c>
      <c r="C121" s="168" t="s">
        <v>379</v>
      </c>
      <c r="D121" s="173" t="s">
        <v>17</v>
      </c>
      <c r="E121" s="383">
        <f>G54</f>
        <v>53.80030000000001</v>
      </c>
      <c r="F121" s="379">
        <v>70.14</v>
      </c>
      <c r="G121" s="358">
        <f t="shared" si="18"/>
        <v>123.94030000000001</v>
      </c>
      <c r="H121" s="367">
        <v>5.25</v>
      </c>
      <c r="I121" s="372">
        <f>(H121*$L$16)+H121</f>
        <v>6.4071</v>
      </c>
      <c r="J121" s="367">
        <f>E121*I54</f>
        <v>5767.392160000001</v>
      </c>
      <c r="K121" s="379">
        <f>F121*I121</f>
        <v>449.39399399999996</v>
      </c>
      <c r="L121" s="181">
        <f>G121*I121</f>
        <v>794.09789613</v>
      </c>
      <c r="M121" s="637">
        <f>'MEMÓRIA DE CÁLCULO'!I63</f>
        <v>148.0185</v>
      </c>
      <c r="N121" s="194">
        <f>M121-E121</f>
        <v>94.21819999999998</v>
      </c>
      <c r="P121" s="88">
        <f>'MEMÓRIA DE CÁLCULO'!I132</f>
        <v>148.0185</v>
      </c>
      <c r="Q121" s="88">
        <f>E121-P121</f>
        <v>-94.21819999999998</v>
      </c>
      <c r="R121" s="64"/>
    </row>
    <row r="122" spans="1:18" s="4" customFormat="1" ht="67.5" hidden="1">
      <c r="A122" s="137" t="s">
        <v>59</v>
      </c>
      <c r="B122" s="164">
        <v>94990</v>
      </c>
      <c r="C122" s="168" t="s">
        <v>380</v>
      </c>
      <c r="D122" s="173" t="s">
        <v>17</v>
      </c>
      <c r="E122" s="383">
        <v>17.93</v>
      </c>
      <c r="F122" s="379">
        <v>25.04</v>
      </c>
      <c r="G122" s="358">
        <f>E122+F122</f>
        <v>42.97</v>
      </c>
      <c r="H122" s="367">
        <v>505.86</v>
      </c>
      <c r="I122" s="372">
        <f>(H122*$L$16)+H122</f>
        <v>617.351544</v>
      </c>
      <c r="J122" s="367">
        <f>L55</f>
        <v>20541.156894000003</v>
      </c>
      <c r="K122" s="379">
        <f>F122*I122</f>
        <v>15458.48266176</v>
      </c>
      <c r="L122" s="181">
        <f>G122*I122</f>
        <v>26527.59584568</v>
      </c>
      <c r="M122" s="194">
        <f>'MEMÓRIA DE CÁLCULO'!I66</f>
        <v>49.3395</v>
      </c>
      <c r="N122" s="194">
        <f>M122-E122</f>
        <v>31.4095</v>
      </c>
      <c r="O122" s="194">
        <f>G55*0.05</f>
        <v>17.93361</v>
      </c>
      <c r="P122" s="88">
        <f>'MEMÓRIA DE CÁLCULO'!I133</f>
        <v>49.3395</v>
      </c>
      <c r="Q122" s="88">
        <f>E122-P122</f>
        <v>-31.4095</v>
      </c>
      <c r="R122" s="64"/>
    </row>
    <row r="123" spans="1:18" s="4" customFormat="1" ht="55.5" customHeight="1" hidden="1">
      <c r="A123" s="137" t="s">
        <v>159</v>
      </c>
      <c r="B123" s="164" t="s">
        <v>390</v>
      </c>
      <c r="C123" s="168" t="s">
        <v>389</v>
      </c>
      <c r="D123" s="173" t="s">
        <v>12</v>
      </c>
      <c r="E123" s="383">
        <f>G56</f>
        <v>11.71</v>
      </c>
      <c r="F123" s="379">
        <v>-5.85</v>
      </c>
      <c r="G123" s="358">
        <f t="shared" si="18"/>
        <v>5.860000000000001</v>
      </c>
      <c r="H123" s="367">
        <v>49.03</v>
      </c>
      <c r="I123" s="372">
        <f>(H123*$L$16)+H123</f>
        <v>59.836212</v>
      </c>
      <c r="J123" s="367">
        <f>E123*I56</f>
        <v>1786.3605000000002</v>
      </c>
      <c r="K123" s="379">
        <f>F123*I123</f>
        <v>-350.0418402</v>
      </c>
      <c r="L123" s="181">
        <f>G123*I123</f>
        <v>350.64020232000007</v>
      </c>
      <c r="M123" s="637">
        <f>'MEMÓRIA DE CÁLCULO'!I69</f>
        <v>5.856000000000001</v>
      </c>
      <c r="N123" s="637">
        <f>E123-M123</f>
        <v>5.854</v>
      </c>
      <c r="P123" s="88">
        <f>'MEMÓRIA DE CÁLCULO'!I134</f>
        <v>5.856000000000001</v>
      </c>
      <c r="Q123" s="88">
        <f>E123-P123</f>
        <v>5.854</v>
      </c>
      <c r="R123" s="64"/>
    </row>
    <row r="124" spans="1:17" s="4" customFormat="1" ht="12.75" hidden="1">
      <c r="A124" s="137"/>
      <c r="B124" s="164"/>
      <c r="C124" s="168"/>
      <c r="D124" s="173"/>
      <c r="E124" s="383"/>
      <c r="F124" s="379"/>
      <c r="G124" s="358"/>
      <c r="H124" s="367"/>
      <c r="I124" s="372"/>
      <c r="J124" s="367"/>
      <c r="K124" s="379"/>
      <c r="L124" s="181"/>
      <c r="M124" s="63"/>
      <c r="P124" s="88"/>
      <c r="Q124" s="88"/>
    </row>
    <row r="125" spans="1:18" s="61" customFormat="1" ht="12.75" hidden="1">
      <c r="A125" s="197">
        <v>5</v>
      </c>
      <c r="B125" s="201" t="s">
        <v>46</v>
      </c>
      <c r="C125" s="169" t="s">
        <v>67</v>
      </c>
      <c r="D125" s="174"/>
      <c r="E125" s="383"/>
      <c r="F125" s="389"/>
      <c r="G125" s="358"/>
      <c r="H125" s="367"/>
      <c r="I125" s="372"/>
      <c r="J125" s="384">
        <f>SUM(J126:J132)</f>
        <v>7441.1016</v>
      </c>
      <c r="K125" s="389">
        <f>SUM(K126:K132)</f>
        <v>-2023.3665734400001</v>
      </c>
      <c r="L125" s="375">
        <f>SUM(L126:L132)</f>
        <v>6927.973066079999</v>
      </c>
      <c r="M125" s="630"/>
      <c r="P125" s="88"/>
      <c r="Q125" s="88"/>
      <c r="R125" s="64"/>
    </row>
    <row r="126" spans="1:18" s="4" customFormat="1" ht="33.75" hidden="1">
      <c r="A126" s="137" t="s">
        <v>32</v>
      </c>
      <c r="B126" s="164" t="s">
        <v>386</v>
      </c>
      <c r="C126" s="168" t="s">
        <v>382</v>
      </c>
      <c r="D126" s="173" t="s">
        <v>12</v>
      </c>
      <c r="E126" s="383">
        <f aca="true" t="shared" si="28" ref="E126:E131">E59</f>
        <v>105.6</v>
      </c>
      <c r="F126" s="379">
        <v>0</v>
      </c>
      <c r="G126" s="358">
        <f t="shared" si="18"/>
        <v>105.6</v>
      </c>
      <c r="H126" s="367">
        <v>12.65</v>
      </c>
      <c r="I126" s="372">
        <f aca="true" t="shared" si="29" ref="I126:I131">(H126*$L$16)+H126</f>
        <v>15.43806</v>
      </c>
      <c r="J126" s="367">
        <f aca="true" t="shared" si="30" ref="J126:J131">E126*I59</f>
        <v>3387.6479999999997</v>
      </c>
      <c r="K126" s="379">
        <f aca="true" t="shared" si="31" ref="K126:K131">F126*I126</f>
        <v>0</v>
      </c>
      <c r="L126" s="181">
        <f>G126*I126</f>
        <v>1630.259136</v>
      </c>
      <c r="M126" s="634">
        <f>'MEMÓRIA DE CÁLCULO'!I72</f>
        <v>105.6</v>
      </c>
      <c r="N126" s="640">
        <f aca="true" t="shared" si="32" ref="N126:N131">E126-M126</f>
        <v>0</v>
      </c>
      <c r="P126" s="88">
        <f>'MEMÓRIA DE CÁLCULO'!I137</f>
        <v>105.6</v>
      </c>
      <c r="Q126" s="88">
        <f aca="true" t="shared" si="33" ref="Q126:Q131">E126-P126</f>
        <v>0</v>
      </c>
      <c r="R126" s="64"/>
    </row>
    <row r="127" spans="1:18" s="4" customFormat="1" ht="33.75" hidden="1">
      <c r="A127" s="137" t="s">
        <v>76</v>
      </c>
      <c r="B127" s="164" t="s">
        <v>386</v>
      </c>
      <c r="C127" s="168" t="s">
        <v>383</v>
      </c>
      <c r="D127" s="173" t="s">
        <v>12</v>
      </c>
      <c r="E127" s="383">
        <f t="shared" si="28"/>
        <v>6.84</v>
      </c>
      <c r="F127" s="379">
        <v>0</v>
      </c>
      <c r="G127" s="358">
        <f t="shared" si="18"/>
        <v>6.84</v>
      </c>
      <c r="H127" s="367">
        <v>12.65</v>
      </c>
      <c r="I127" s="372">
        <f t="shared" si="29"/>
        <v>15.43806</v>
      </c>
      <c r="J127" s="367">
        <f t="shared" si="30"/>
        <v>219.42719999999997</v>
      </c>
      <c r="K127" s="379">
        <f t="shared" si="31"/>
        <v>0</v>
      </c>
      <c r="L127" s="181">
        <f t="shared" si="21"/>
        <v>105.5963304</v>
      </c>
      <c r="M127" s="634">
        <f>'MEMÓRIA DE CÁLCULO'!I74</f>
        <v>9.12</v>
      </c>
      <c r="N127" s="640">
        <f t="shared" si="32"/>
        <v>-2.2799999999999994</v>
      </c>
      <c r="P127" s="88">
        <f>'MEMÓRIA DE CÁLCULO'!I138</f>
        <v>9.12</v>
      </c>
      <c r="Q127" s="88">
        <f t="shared" si="33"/>
        <v>-2.2799999999999994</v>
      </c>
      <c r="R127" s="64"/>
    </row>
    <row r="128" spans="1:18" s="4" customFormat="1" ht="33.75" hidden="1">
      <c r="A128" s="137" t="s">
        <v>77</v>
      </c>
      <c r="B128" s="164" t="s">
        <v>387</v>
      </c>
      <c r="C128" s="168" t="s">
        <v>384</v>
      </c>
      <c r="D128" s="173" t="s">
        <v>12</v>
      </c>
      <c r="E128" s="383">
        <f t="shared" si="28"/>
        <v>6.48</v>
      </c>
      <c r="F128" s="379">
        <v>-2.16</v>
      </c>
      <c r="G128" s="358">
        <f t="shared" si="18"/>
        <v>4.32</v>
      </c>
      <c r="H128" s="367">
        <v>258.71</v>
      </c>
      <c r="I128" s="372">
        <f t="shared" si="29"/>
        <v>315.72968399999996</v>
      </c>
      <c r="J128" s="367">
        <f t="shared" si="30"/>
        <v>1767.2904000000003</v>
      </c>
      <c r="K128" s="379">
        <f t="shared" si="31"/>
        <v>-681.9761174399999</v>
      </c>
      <c r="L128" s="181">
        <f t="shared" si="21"/>
        <v>1363.9522348799999</v>
      </c>
      <c r="M128" s="634">
        <f>'MEMÓRIA DE CÁLCULO'!I75</f>
        <v>5.04</v>
      </c>
      <c r="N128" s="640">
        <f t="shared" si="32"/>
        <v>1.4400000000000004</v>
      </c>
      <c r="P128" s="88">
        <f>'MEMÓRIA DE CÁLCULO'!I139</f>
        <v>5.04</v>
      </c>
      <c r="Q128" s="88">
        <f t="shared" si="33"/>
        <v>1.4400000000000004</v>
      </c>
      <c r="R128" s="64"/>
    </row>
    <row r="129" spans="1:18" s="4" customFormat="1" ht="33.75" hidden="1">
      <c r="A129" s="137" t="s">
        <v>78</v>
      </c>
      <c r="B129" s="164" t="s">
        <v>388</v>
      </c>
      <c r="C129" s="168" t="s">
        <v>385</v>
      </c>
      <c r="D129" s="173" t="s">
        <v>26</v>
      </c>
      <c r="E129" s="383">
        <f t="shared" si="28"/>
        <v>21</v>
      </c>
      <c r="F129" s="379">
        <v>-6</v>
      </c>
      <c r="G129" s="358">
        <f t="shared" si="18"/>
        <v>15</v>
      </c>
      <c r="H129" s="367">
        <v>183.19</v>
      </c>
      <c r="I129" s="372">
        <f t="shared" si="29"/>
        <v>223.565076</v>
      </c>
      <c r="J129" s="367">
        <f t="shared" si="30"/>
        <v>1636.95</v>
      </c>
      <c r="K129" s="379">
        <f t="shared" si="31"/>
        <v>-1341.390456</v>
      </c>
      <c r="L129" s="181">
        <f t="shared" si="21"/>
        <v>3353.47614</v>
      </c>
      <c r="M129" s="634">
        <f>'MEMÓRIA DE CÁLCULO'!I76</f>
        <v>17</v>
      </c>
      <c r="N129" s="640">
        <f t="shared" si="32"/>
        <v>4</v>
      </c>
      <c r="P129" s="88">
        <f>'MEMÓRIA DE CÁLCULO'!I140</f>
        <v>17</v>
      </c>
      <c r="Q129" s="88">
        <f t="shared" si="33"/>
        <v>4</v>
      </c>
      <c r="R129" s="64"/>
    </row>
    <row r="130" spans="1:18" s="4" customFormat="1" ht="12.75" hidden="1">
      <c r="A130" s="137" t="s">
        <v>128</v>
      </c>
      <c r="B130" s="164" t="s">
        <v>82</v>
      </c>
      <c r="C130" s="168" t="s">
        <v>73</v>
      </c>
      <c r="D130" s="173" t="s">
        <v>12</v>
      </c>
      <c r="E130" s="383">
        <f t="shared" si="28"/>
        <v>10.8</v>
      </c>
      <c r="F130" s="379">
        <v>0</v>
      </c>
      <c r="G130" s="358">
        <f t="shared" si="18"/>
        <v>10.8</v>
      </c>
      <c r="H130" s="367">
        <v>12.29</v>
      </c>
      <c r="I130" s="372">
        <f t="shared" si="29"/>
        <v>14.998715999999998</v>
      </c>
      <c r="J130" s="367">
        <f t="shared" si="30"/>
        <v>126.57600000000002</v>
      </c>
      <c r="K130" s="379">
        <f t="shared" si="31"/>
        <v>0</v>
      </c>
      <c r="L130" s="181">
        <f t="shared" si="21"/>
        <v>161.98613279999998</v>
      </c>
      <c r="M130" s="634" t="e">
        <f>'MEMÓRIA DE CÁLCULO'!#REF!</f>
        <v>#REF!</v>
      </c>
      <c r="N130" s="640" t="e">
        <f t="shared" si="32"/>
        <v>#REF!</v>
      </c>
      <c r="P130" s="88" t="e">
        <f>'MEMÓRIA DE CÁLCULO'!#REF!</f>
        <v>#REF!</v>
      </c>
      <c r="Q130" s="88" t="e">
        <f t="shared" si="33"/>
        <v>#REF!</v>
      </c>
      <c r="R130" s="64"/>
    </row>
    <row r="131" spans="1:18" s="4" customFormat="1" ht="22.5" hidden="1">
      <c r="A131" s="137" t="s">
        <v>129</v>
      </c>
      <c r="B131" s="164" t="s">
        <v>74</v>
      </c>
      <c r="C131" s="168" t="s">
        <v>75</v>
      </c>
      <c r="D131" s="173" t="s">
        <v>26</v>
      </c>
      <c r="E131" s="383">
        <f t="shared" si="28"/>
        <v>3</v>
      </c>
      <c r="F131" s="379">
        <v>0</v>
      </c>
      <c r="G131" s="358">
        <f t="shared" si="18"/>
        <v>3</v>
      </c>
      <c r="H131" s="367">
        <v>85.41</v>
      </c>
      <c r="I131" s="372">
        <f t="shared" si="29"/>
        <v>104.234364</v>
      </c>
      <c r="J131" s="367">
        <f t="shared" si="30"/>
        <v>303.21</v>
      </c>
      <c r="K131" s="379">
        <f t="shared" si="31"/>
        <v>0</v>
      </c>
      <c r="L131" s="181">
        <f t="shared" si="21"/>
        <v>312.70309199999997</v>
      </c>
      <c r="M131" s="634">
        <f>'MEMÓRIA DE CÁLCULO'!I79</f>
        <v>3</v>
      </c>
      <c r="N131" s="640">
        <f t="shared" si="32"/>
        <v>0</v>
      </c>
      <c r="P131" s="88">
        <f>'MEMÓRIA DE CÁLCULO'!I141</f>
        <v>3</v>
      </c>
      <c r="Q131" s="88">
        <f t="shared" si="33"/>
        <v>0</v>
      </c>
      <c r="R131" s="64"/>
    </row>
    <row r="132" spans="1:18" s="89" customFormat="1" ht="12.75" hidden="1">
      <c r="A132" s="139"/>
      <c r="B132" s="202"/>
      <c r="C132" s="170"/>
      <c r="D132" s="175"/>
      <c r="E132" s="383"/>
      <c r="F132" s="390"/>
      <c r="G132" s="358"/>
      <c r="H132" s="367"/>
      <c r="I132" s="372"/>
      <c r="J132" s="367"/>
      <c r="K132" s="379"/>
      <c r="L132" s="181"/>
      <c r="M132" s="633"/>
      <c r="P132" s="88"/>
      <c r="Q132" s="88"/>
      <c r="R132" s="90"/>
    </row>
    <row r="133" spans="1:17" s="61" customFormat="1" ht="12.75" hidden="1">
      <c r="A133" s="197">
        <v>6</v>
      </c>
      <c r="B133" s="201" t="s">
        <v>46</v>
      </c>
      <c r="C133" s="169" t="s">
        <v>214</v>
      </c>
      <c r="D133" s="174"/>
      <c r="E133" s="383"/>
      <c r="F133" s="389"/>
      <c r="G133" s="358"/>
      <c r="H133" s="367"/>
      <c r="I133" s="372"/>
      <c r="J133" s="384">
        <f>SUM(J134:J140)</f>
        <v>925.56</v>
      </c>
      <c r="K133" s="389">
        <f>SUM(K134:K140)</f>
        <v>0</v>
      </c>
      <c r="L133" s="375">
        <f>SUM(L134:L140)</f>
        <v>390.6119635200001</v>
      </c>
      <c r="M133" s="630"/>
      <c r="P133" s="88"/>
      <c r="Q133" s="88"/>
    </row>
    <row r="134" spans="1:17" s="98" customFormat="1" ht="22.5" hidden="1">
      <c r="A134" s="137" t="s">
        <v>68</v>
      </c>
      <c r="B134" s="164">
        <v>72215</v>
      </c>
      <c r="C134" s="168" t="s">
        <v>222</v>
      </c>
      <c r="D134" s="173" t="s">
        <v>17</v>
      </c>
      <c r="E134" s="383">
        <f aca="true" t="shared" si="34" ref="E134:E139">G67</f>
        <v>0</v>
      </c>
      <c r="F134" s="379">
        <v>0</v>
      </c>
      <c r="G134" s="358">
        <f t="shared" si="18"/>
        <v>0</v>
      </c>
      <c r="H134" s="367">
        <f>'PLANILHA DA PROPOSTA'!F73</f>
        <v>28.18</v>
      </c>
      <c r="I134" s="372">
        <f>'PLANILHA DA PROPOSTA'!G73</f>
        <v>34.39</v>
      </c>
      <c r="J134" s="367">
        <f>E134*I134</f>
        <v>0</v>
      </c>
      <c r="K134" s="379">
        <f>F134*I67</f>
        <v>0</v>
      </c>
      <c r="L134" s="181">
        <f t="shared" si="21"/>
        <v>0</v>
      </c>
      <c r="M134" s="632"/>
      <c r="P134" s="88">
        <f>'MEMÓRIA DE CÁLCULO'!I144</f>
        <v>1.08</v>
      </c>
      <c r="Q134" s="88">
        <f aca="true" t="shared" si="35" ref="Q134:Q139">E134-P134</f>
        <v>-1.08</v>
      </c>
    </row>
    <row r="135" spans="1:17" s="98" customFormat="1" ht="56.25" hidden="1">
      <c r="A135" s="137" t="s">
        <v>215</v>
      </c>
      <c r="B135" s="164">
        <v>90100</v>
      </c>
      <c r="C135" s="168" t="s">
        <v>223</v>
      </c>
      <c r="D135" s="173" t="s">
        <v>17</v>
      </c>
      <c r="E135" s="383">
        <f t="shared" si="34"/>
        <v>0</v>
      </c>
      <c r="F135" s="379">
        <v>0</v>
      </c>
      <c r="G135" s="358">
        <f t="shared" si="18"/>
        <v>0</v>
      </c>
      <c r="H135" s="367">
        <f>'PLANILHA DA PROPOSTA'!F74</f>
        <v>11.35</v>
      </c>
      <c r="I135" s="372">
        <f>'PLANILHA DA PROPOSTA'!G74</f>
        <v>13.85</v>
      </c>
      <c r="J135" s="367">
        <f>E135*I135</f>
        <v>0</v>
      </c>
      <c r="K135" s="379">
        <f>F135*I68</f>
        <v>0</v>
      </c>
      <c r="L135" s="181">
        <f t="shared" si="21"/>
        <v>0</v>
      </c>
      <c r="M135" s="632"/>
      <c r="P135" s="88">
        <f>'MEMÓRIA DE CÁLCULO'!I145</f>
        <v>8.64</v>
      </c>
      <c r="Q135" s="88">
        <f t="shared" si="35"/>
        <v>-8.64</v>
      </c>
    </row>
    <row r="136" spans="1:17" s="4" customFormat="1" ht="56.25" hidden="1">
      <c r="A136" s="137" t="s">
        <v>216</v>
      </c>
      <c r="B136" s="164">
        <v>87463</v>
      </c>
      <c r="C136" s="168" t="s">
        <v>224</v>
      </c>
      <c r="D136" s="173" t="s">
        <v>12</v>
      </c>
      <c r="E136" s="383">
        <f t="shared" si="34"/>
        <v>4.32</v>
      </c>
      <c r="F136" s="379">
        <v>0</v>
      </c>
      <c r="G136" s="358">
        <f t="shared" si="18"/>
        <v>4.32</v>
      </c>
      <c r="H136" s="367">
        <v>70.01</v>
      </c>
      <c r="I136" s="372">
        <f>(H136*$L$16)+H136</f>
        <v>85.44020400000001</v>
      </c>
      <c r="J136" s="367">
        <f>E136*I69</f>
        <v>311.8608</v>
      </c>
      <c r="K136" s="379">
        <f>F136*I136</f>
        <v>0</v>
      </c>
      <c r="L136" s="181">
        <f>G136*I136</f>
        <v>369.10168128000004</v>
      </c>
      <c r="M136" s="63"/>
      <c r="P136" s="88">
        <f>'MEMÓRIA DE CÁLCULO'!I146</f>
        <v>4.32</v>
      </c>
      <c r="Q136" s="88">
        <f t="shared" si="35"/>
        <v>0</v>
      </c>
    </row>
    <row r="137" spans="1:17" s="4" customFormat="1" ht="45" hidden="1">
      <c r="A137" s="137" t="s">
        <v>217</v>
      </c>
      <c r="B137" s="164">
        <v>87878</v>
      </c>
      <c r="C137" s="168" t="s">
        <v>225</v>
      </c>
      <c r="D137" s="173" t="s">
        <v>12</v>
      </c>
      <c r="E137" s="383">
        <f t="shared" si="34"/>
        <v>4.32</v>
      </c>
      <c r="F137" s="379">
        <v>0</v>
      </c>
      <c r="G137" s="358">
        <f t="shared" si="18"/>
        <v>4.32</v>
      </c>
      <c r="H137" s="367">
        <v>3.08</v>
      </c>
      <c r="I137" s="372">
        <f>(H137*$L$16)+H137</f>
        <v>3.758832</v>
      </c>
      <c r="J137" s="367">
        <f>E137*I70</f>
        <v>14.4288</v>
      </c>
      <c r="K137" s="379">
        <f>F137*I137</f>
        <v>0</v>
      </c>
      <c r="L137" s="181">
        <f t="shared" si="21"/>
        <v>16.23815424</v>
      </c>
      <c r="M137" s="63"/>
      <c r="P137" s="88">
        <f>'MEMÓRIA DE CÁLCULO'!I147</f>
        <v>4.32</v>
      </c>
      <c r="Q137" s="88">
        <f t="shared" si="35"/>
        <v>0</v>
      </c>
    </row>
    <row r="138" spans="1:17" s="4" customFormat="1" ht="45" hidden="1">
      <c r="A138" s="137" t="s">
        <v>218</v>
      </c>
      <c r="B138" s="164" t="s">
        <v>381</v>
      </c>
      <c r="C138" s="168" t="s">
        <v>226</v>
      </c>
      <c r="D138" s="173" t="s">
        <v>12</v>
      </c>
      <c r="E138" s="383">
        <f t="shared" si="34"/>
        <v>4.32</v>
      </c>
      <c r="F138" s="379">
        <v>0</v>
      </c>
      <c r="G138" s="358">
        <f t="shared" si="18"/>
        <v>4.32</v>
      </c>
      <c r="H138" s="367">
        <v>1</v>
      </c>
      <c r="I138" s="372">
        <f>(H138*$L$16)+H138</f>
        <v>1.2204</v>
      </c>
      <c r="J138" s="367">
        <f>E138*I71</f>
        <v>599.2704</v>
      </c>
      <c r="K138" s="379">
        <f>F138*I138</f>
        <v>0</v>
      </c>
      <c r="L138" s="181">
        <f t="shared" si="21"/>
        <v>5.272128</v>
      </c>
      <c r="M138" s="63"/>
      <c r="P138" s="88">
        <f>'MEMÓRIA DE CÁLCULO'!I148</f>
        <v>4.32</v>
      </c>
      <c r="Q138" s="88">
        <f t="shared" si="35"/>
        <v>0</v>
      </c>
    </row>
    <row r="139" spans="1:17" s="98" customFormat="1" ht="56.25" hidden="1">
      <c r="A139" s="137" t="s">
        <v>219</v>
      </c>
      <c r="B139" s="164">
        <v>5719</v>
      </c>
      <c r="C139" s="168" t="s">
        <v>227</v>
      </c>
      <c r="D139" s="173" t="s">
        <v>17</v>
      </c>
      <c r="E139" s="383">
        <f t="shared" si="34"/>
        <v>0</v>
      </c>
      <c r="F139" s="379">
        <v>0</v>
      </c>
      <c r="G139" s="358">
        <f t="shared" si="18"/>
        <v>0</v>
      </c>
      <c r="H139" s="367">
        <f>'PLANILHA DA PROPOSTA'!F78</f>
        <v>41.04</v>
      </c>
      <c r="I139" s="372">
        <f>'PLANILHA DA PROPOSTA'!G78</f>
        <v>50.09</v>
      </c>
      <c r="J139" s="367">
        <f>E139*I139</f>
        <v>0</v>
      </c>
      <c r="K139" s="379">
        <f>F139*I72</f>
        <v>0</v>
      </c>
      <c r="L139" s="181">
        <f t="shared" si="21"/>
        <v>0</v>
      </c>
      <c r="M139" s="632"/>
      <c r="P139" s="88">
        <f>'MEMÓRIA DE CÁLCULO'!I149</f>
        <v>8.64</v>
      </c>
      <c r="Q139" s="88">
        <f t="shared" si="35"/>
        <v>-8.64</v>
      </c>
    </row>
    <row r="140" spans="1:17" s="98" customFormat="1" ht="12.75" hidden="1">
      <c r="A140" s="137"/>
      <c r="B140" s="164"/>
      <c r="C140" s="168"/>
      <c r="D140" s="173"/>
      <c r="E140" s="383"/>
      <c r="F140" s="379"/>
      <c r="G140" s="358"/>
      <c r="H140" s="367"/>
      <c r="I140" s="372"/>
      <c r="J140" s="367"/>
      <c r="K140" s="379"/>
      <c r="L140" s="181"/>
      <c r="M140" s="632"/>
      <c r="P140" s="88"/>
      <c r="Q140" s="88"/>
    </row>
    <row r="141" spans="1:18" s="61" customFormat="1" ht="12.75" hidden="1">
      <c r="A141" s="197">
        <v>7</v>
      </c>
      <c r="B141" s="201" t="s">
        <v>46</v>
      </c>
      <c r="C141" s="169" t="s">
        <v>21</v>
      </c>
      <c r="D141" s="174"/>
      <c r="E141" s="383"/>
      <c r="F141" s="389"/>
      <c r="G141" s="358"/>
      <c r="H141" s="367"/>
      <c r="I141" s="372"/>
      <c r="J141" s="384">
        <f>SUM(J142:J143)</f>
        <v>2366.7956</v>
      </c>
      <c r="K141" s="389">
        <f>SUM(K142:K143)</f>
        <v>-2332.96862904</v>
      </c>
      <c r="L141" s="375">
        <f>SUM(L142:L143)</f>
        <v>0</v>
      </c>
      <c r="M141" s="630"/>
      <c r="P141" s="88"/>
      <c r="Q141" s="88"/>
      <c r="R141" s="64"/>
    </row>
    <row r="142" spans="1:18" s="4" customFormat="1" ht="22.5" hidden="1">
      <c r="A142" s="137" t="s">
        <v>220</v>
      </c>
      <c r="B142" s="164" t="s">
        <v>239</v>
      </c>
      <c r="C142" s="168" t="s">
        <v>240</v>
      </c>
      <c r="D142" s="173" t="s">
        <v>12</v>
      </c>
      <c r="E142" s="383">
        <f>G75</f>
        <v>9103.06</v>
      </c>
      <c r="F142" s="379">
        <f>-E142</f>
        <v>-9103.06</v>
      </c>
      <c r="G142" s="358">
        <f t="shared" si="18"/>
        <v>0</v>
      </c>
      <c r="H142" s="367">
        <v>0.21</v>
      </c>
      <c r="I142" s="372">
        <f>(H142*$L$16)+H142</f>
        <v>0.256284</v>
      </c>
      <c r="J142" s="367">
        <f>E142*I75</f>
        <v>2366.7956</v>
      </c>
      <c r="K142" s="379">
        <f>F142*I142</f>
        <v>-2332.96862904</v>
      </c>
      <c r="L142" s="181">
        <f t="shared" si="21"/>
        <v>0</v>
      </c>
      <c r="M142" s="194" t="e">
        <f>'MEMÓRIA DE CÁLCULO'!#REF!</f>
        <v>#REF!</v>
      </c>
      <c r="N142" s="194" t="e">
        <f>M142-E142</f>
        <v>#REF!</v>
      </c>
      <c r="P142" s="88" t="e">
        <f>'MEMÓRIA DE CÁLCULO'!#REF!</f>
        <v>#REF!</v>
      </c>
      <c r="Q142" s="88" t="e">
        <f>E142-P142</f>
        <v>#REF!</v>
      </c>
      <c r="R142" s="64"/>
    </row>
    <row r="143" spans="1:18" s="4" customFormat="1" ht="12.75" hidden="1">
      <c r="A143" s="137"/>
      <c r="B143" s="203"/>
      <c r="C143" s="168"/>
      <c r="D143" s="176"/>
      <c r="E143" s="368"/>
      <c r="F143" s="380"/>
      <c r="G143" s="180"/>
      <c r="H143" s="367"/>
      <c r="I143" s="372"/>
      <c r="J143" s="367"/>
      <c r="K143" s="379"/>
      <c r="L143" s="181"/>
      <c r="M143" s="63"/>
      <c r="P143" s="88"/>
      <c r="Q143" s="88"/>
      <c r="R143" s="64"/>
    </row>
    <row r="144" spans="1:18" s="4" customFormat="1" ht="12.75" hidden="1">
      <c r="A144" s="137"/>
      <c r="B144" s="203"/>
      <c r="C144" s="168"/>
      <c r="D144" s="176"/>
      <c r="E144" s="368"/>
      <c r="F144" s="380"/>
      <c r="G144" s="180"/>
      <c r="H144" s="367"/>
      <c r="I144" s="372"/>
      <c r="J144" s="367"/>
      <c r="K144" s="379"/>
      <c r="L144" s="181"/>
      <c r="M144" s="63"/>
      <c r="P144" s="88"/>
      <c r="Q144" s="88"/>
      <c r="R144" s="64"/>
    </row>
    <row r="145" spans="1:18" s="4" customFormat="1" ht="13.5" hidden="1" thickBot="1">
      <c r="A145" s="165"/>
      <c r="B145" s="204"/>
      <c r="C145" s="171"/>
      <c r="D145" s="176"/>
      <c r="E145" s="369"/>
      <c r="F145" s="381"/>
      <c r="G145" s="180"/>
      <c r="H145" s="369"/>
      <c r="I145" s="373"/>
      <c r="J145" s="369"/>
      <c r="K145" s="381"/>
      <c r="L145" s="363"/>
      <c r="M145" s="63"/>
      <c r="P145" s="88"/>
      <c r="Q145" s="94"/>
      <c r="R145" s="64"/>
    </row>
    <row r="146" spans="1:17" ht="18" customHeight="1" hidden="1" thickBot="1">
      <c r="A146" s="889" t="s">
        <v>375</v>
      </c>
      <c r="B146" s="890"/>
      <c r="C146" s="890"/>
      <c r="D146" s="890"/>
      <c r="E146" s="890"/>
      <c r="F146" s="890"/>
      <c r="G146" s="890"/>
      <c r="H146" s="890"/>
      <c r="I146" s="891"/>
      <c r="J146" s="553">
        <f>(J88+J91+J106+J120+J125+J133+J141)+0.02</f>
        <v>76402.33215399999</v>
      </c>
      <c r="K146" s="554">
        <f>K88+K91+K106+K120+K125+K133+K141</f>
        <v>-16618.925154919998</v>
      </c>
      <c r="L146" s="555">
        <f>L88+L91+L106+L120+L125+L133+L141</f>
        <v>44980.47876573</v>
      </c>
      <c r="M146" s="186">
        <f>J146-L146</f>
        <v>31421.853388269992</v>
      </c>
      <c r="P146" s="569"/>
      <c r="Q146" s="570"/>
    </row>
    <row r="147" spans="1:17" s="182" customFormat="1" ht="18" customHeight="1" hidden="1">
      <c r="A147" s="314"/>
      <c r="B147" s="576"/>
      <c r="C147" s="576"/>
      <c r="D147" s="576"/>
      <c r="E147" s="576"/>
      <c r="F147" s="576"/>
      <c r="G147" s="576"/>
      <c r="H147" s="576"/>
      <c r="I147" s="576"/>
      <c r="J147" s="577"/>
      <c r="K147" s="577"/>
      <c r="L147" s="578"/>
      <c r="M147" s="186"/>
      <c r="P147" s="86"/>
      <c r="Q147" s="95"/>
    </row>
    <row r="148" spans="1:17" s="182" customFormat="1" ht="18" customHeight="1" hidden="1">
      <c r="A148" s="314"/>
      <c r="B148" s="579" t="s">
        <v>404</v>
      </c>
      <c r="C148" s="576"/>
      <c r="D148" s="576"/>
      <c r="E148" s="576"/>
      <c r="F148" s="576"/>
      <c r="G148" s="576"/>
      <c r="H148" s="576"/>
      <c r="I148" s="576"/>
      <c r="J148" s="577"/>
      <c r="K148" s="577"/>
      <c r="L148" s="578"/>
      <c r="M148" s="186"/>
      <c r="P148" s="86"/>
      <c r="Q148" s="95"/>
    </row>
    <row r="149" spans="1:17" s="182" customFormat="1" ht="18" customHeight="1" hidden="1">
      <c r="A149" s="314"/>
      <c r="B149" s="579"/>
      <c r="C149" s="576"/>
      <c r="D149" s="576"/>
      <c r="E149" s="576"/>
      <c r="F149" s="576"/>
      <c r="G149" s="576"/>
      <c r="H149" s="576"/>
      <c r="I149" s="576"/>
      <c r="J149" s="577"/>
      <c r="K149" s="577"/>
      <c r="L149" s="578"/>
      <c r="M149" s="186"/>
      <c r="P149" s="86"/>
      <c r="Q149" s="95"/>
    </row>
    <row r="150" spans="1:17" s="182" customFormat="1" ht="18" customHeight="1" hidden="1">
      <c r="A150" s="580" t="s">
        <v>391</v>
      </c>
      <c r="B150" s="907" t="s">
        <v>389</v>
      </c>
      <c r="C150" s="907"/>
      <c r="D150" s="907"/>
      <c r="E150" s="907"/>
      <c r="F150" s="907"/>
      <c r="G150" s="907"/>
      <c r="H150" s="907"/>
      <c r="I150" s="907"/>
      <c r="J150" s="907"/>
      <c r="K150" s="907"/>
      <c r="L150" s="578"/>
      <c r="M150" s="186"/>
      <c r="P150" s="86"/>
      <c r="Q150" s="95"/>
    </row>
    <row r="151" spans="1:17" s="182" customFormat="1" ht="18" customHeight="1" hidden="1">
      <c r="A151" s="580"/>
      <c r="B151" s="581"/>
      <c r="C151" s="581"/>
      <c r="D151" s="581"/>
      <c r="E151" s="581"/>
      <c r="F151" s="581"/>
      <c r="G151" s="581"/>
      <c r="H151" s="581"/>
      <c r="I151" s="581"/>
      <c r="J151" s="581"/>
      <c r="K151" s="581"/>
      <c r="L151" s="578"/>
      <c r="M151" s="186"/>
      <c r="P151" s="86"/>
      <c r="Q151" s="95"/>
    </row>
    <row r="152" spans="1:17" s="182" customFormat="1" ht="18" customHeight="1" hidden="1">
      <c r="A152" s="580"/>
      <c r="B152" s="592" t="s">
        <v>400</v>
      </c>
      <c r="C152" s="593"/>
      <c r="D152" s="593"/>
      <c r="E152" s="593"/>
      <c r="F152" s="593"/>
      <c r="G152" s="593"/>
      <c r="H152" s="594" t="s">
        <v>2</v>
      </c>
      <c r="I152" s="595" t="s">
        <v>401</v>
      </c>
      <c r="J152" s="594" t="s">
        <v>402</v>
      </c>
      <c r="K152" s="596" t="s">
        <v>403</v>
      </c>
      <c r="L152" s="578"/>
      <c r="M152" s="186"/>
      <c r="P152" s="86"/>
      <c r="Q152" s="95"/>
    </row>
    <row r="153" spans="1:17" s="182" customFormat="1" ht="18" customHeight="1" hidden="1">
      <c r="A153" s="314"/>
      <c r="B153" s="600" t="s">
        <v>392</v>
      </c>
      <c r="C153" s="601"/>
      <c r="D153" s="601"/>
      <c r="E153" s="601"/>
      <c r="F153" s="601"/>
      <c r="G153" s="601"/>
      <c r="H153" s="582" t="s">
        <v>394</v>
      </c>
      <c r="I153" s="607">
        <v>4.5</v>
      </c>
      <c r="J153" s="602">
        <v>1.31</v>
      </c>
      <c r="K153" s="603">
        <f>I153*J153</f>
        <v>5.8950000000000005</v>
      </c>
      <c r="L153" s="578"/>
      <c r="M153" s="186"/>
      <c r="P153" s="86"/>
      <c r="Q153" s="95"/>
    </row>
    <row r="154" spans="1:17" s="182" customFormat="1" ht="18" customHeight="1" hidden="1">
      <c r="A154" s="314"/>
      <c r="B154" s="583" t="s">
        <v>393</v>
      </c>
      <c r="C154" s="576"/>
      <c r="D154" s="576"/>
      <c r="E154" s="576"/>
      <c r="F154" s="576"/>
      <c r="G154" s="576"/>
      <c r="H154" s="589" t="s">
        <v>12</v>
      </c>
      <c r="I154" s="576">
        <v>1.05</v>
      </c>
      <c r="J154" s="590">
        <v>18.75</v>
      </c>
      <c r="K154" s="604">
        <f>I154*J154</f>
        <v>19.6875</v>
      </c>
      <c r="L154" s="578"/>
      <c r="M154" s="186"/>
      <c r="P154" s="86"/>
      <c r="Q154" s="95"/>
    </row>
    <row r="155" spans="1:17" s="182" customFormat="1" ht="18" customHeight="1" hidden="1">
      <c r="A155" s="314"/>
      <c r="B155" s="600" t="s">
        <v>395</v>
      </c>
      <c r="C155" s="601"/>
      <c r="D155" s="601"/>
      <c r="E155" s="601"/>
      <c r="F155" s="601"/>
      <c r="G155" s="601"/>
      <c r="H155" s="582" t="s">
        <v>397</v>
      </c>
      <c r="I155" s="601">
        <v>0.8627451</v>
      </c>
      <c r="J155" s="602">
        <v>20.01</v>
      </c>
      <c r="K155" s="603">
        <f>I155*J155</f>
        <v>17.263529451000004</v>
      </c>
      <c r="L155" s="578"/>
      <c r="M155" s="186"/>
      <c r="P155" s="86"/>
      <c r="Q155" s="95"/>
    </row>
    <row r="156" spans="1:17" s="182" customFormat="1" ht="18" customHeight="1" hidden="1">
      <c r="A156" s="314"/>
      <c r="B156" s="583" t="s">
        <v>396</v>
      </c>
      <c r="C156" s="576"/>
      <c r="D156" s="576"/>
      <c r="E156" s="576"/>
      <c r="F156" s="576"/>
      <c r="G156" s="576"/>
      <c r="H156" s="589" t="s">
        <v>397</v>
      </c>
      <c r="I156" s="576">
        <v>0.4313725</v>
      </c>
      <c r="J156" s="590">
        <v>14.33</v>
      </c>
      <c r="K156" s="604">
        <f>I156*J156</f>
        <v>6.1815679249999995</v>
      </c>
      <c r="L156" s="578"/>
      <c r="M156" s="186"/>
      <c r="P156" s="86"/>
      <c r="Q156" s="95"/>
    </row>
    <row r="157" spans="1:17" s="182" customFormat="1" ht="18" customHeight="1" hidden="1">
      <c r="A157" s="314"/>
      <c r="B157" s="597" t="s">
        <v>398</v>
      </c>
      <c r="C157" s="598"/>
      <c r="D157" s="598"/>
      <c r="E157" s="598"/>
      <c r="F157" s="598"/>
      <c r="G157" s="598"/>
      <c r="H157" s="598"/>
      <c r="I157" s="598"/>
      <c r="J157" s="599"/>
      <c r="K157" s="605">
        <f>SUM(K153:K156)</f>
        <v>49.027597376</v>
      </c>
      <c r="L157" s="578"/>
      <c r="M157" s="186"/>
      <c r="P157" s="86"/>
      <c r="Q157" s="95"/>
    </row>
    <row r="158" spans="1:17" s="182" customFormat="1" ht="18" customHeight="1" hidden="1">
      <c r="A158" s="314"/>
      <c r="B158" s="585"/>
      <c r="C158" s="586"/>
      <c r="D158" s="586"/>
      <c r="E158" s="586"/>
      <c r="F158" s="586"/>
      <c r="G158" s="586"/>
      <c r="H158" s="586"/>
      <c r="I158" s="586"/>
      <c r="J158" s="591"/>
      <c r="K158" s="606"/>
      <c r="L158" s="578"/>
      <c r="M158" s="186"/>
      <c r="P158" s="86"/>
      <c r="Q158" s="95"/>
    </row>
    <row r="159" spans="1:17" s="182" customFormat="1" ht="18" customHeight="1" hidden="1">
      <c r="A159" s="314"/>
      <c r="B159" s="597" t="s">
        <v>335</v>
      </c>
      <c r="C159" s="598"/>
      <c r="D159" s="598"/>
      <c r="E159" s="598"/>
      <c r="F159" s="598"/>
      <c r="G159" s="598"/>
      <c r="H159" s="598"/>
      <c r="I159" s="598"/>
      <c r="J159" s="599"/>
      <c r="K159" s="605">
        <v>0</v>
      </c>
      <c r="L159" s="578"/>
      <c r="M159" s="186"/>
      <c r="P159" s="86"/>
      <c r="Q159" s="95"/>
    </row>
    <row r="160" spans="1:17" s="182" customFormat="1" ht="11.25" hidden="1">
      <c r="A160" s="314"/>
      <c r="B160" s="585"/>
      <c r="C160" s="586"/>
      <c r="D160" s="586"/>
      <c r="E160" s="586"/>
      <c r="F160" s="586"/>
      <c r="G160" s="586"/>
      <c r="H160" s="586"/>
      <c r="I160" s="586"/>
      <c r="J160" s="591"/>
      <c r="K160" s="606"/>
      <c r="L160" s="578"/>
      <c r="M160" s="186"/>
      <c r="P160" s="86"/>
      <c r="Q160" s="95"/>
    </row>
    <row r="161" spans="1:17" s="182" customFormat="1" ht="18" customHeight="1" hidden="1">
      <c r="A161" s="314"/>
      <c r="B161" s="583" t="s">
        <v>399</v>
      </c>
      <c r="C161" s="576"/>
      <c r="D161" s="576"/>
      <c r="E161" s="576"/>
      <c r="F161" s="576"/>
      <c r="G161" s="576"/>
      <c r="H161" s="576"/>
      <c r="I161" s="576"/>
      <c r="J161" s="577"/>
      <c r="K161" s="584">
        <f>K157</f>
        <v>49.027597376</v>
      </c>
      <c r="L161" s="578"/>
      <c r="M161" s="186"/>
      <c r="P161" s="86"/>
      <c r="Q161" s="95"/>
    </row>
    <row r="162" spans="1:17" s="182" customFormat="1" ht="11.25" hidden="1">
      <c r="A162" s="314"/>
      <c r="B162" s="585"/>
      <c r="C162" s="586"/>
      <c r="D162" s="586"/>
      <c r="E162" s="586"/>
      <c r="F162" s="586"/>
      <c r="G162" s="586"/>
      <c r="H162" s="586"/>
      <c r="I162" s="586"/>
      <c r="J162" s="587"/>
      <c r="K162" s="588"/>
      <c r="L162" s="578"/>
      <c r="M162" s="186"/>
      <c r="P162" s="86"/>
      <c r="Q162" s="95"/>
    </row>
    <row r="163" spans="1:17" s="182" customFormat="1" ht="18" customHeight="1" hidden="1">
      <c r="A163" s="314"/>
      <c r="B163" s="639"/>
      <c r="C163" s="576"/>
      <c r="D163" s="576"/>
      <c r="E163" s="576"/>
      <c r="F163" s="576"/>
      <c r="G163" s="576"/>
      <c r="H163" s="576"/>
      <c r="I163" s="576"/>
      <c r="J163" s="577"/>
      <c r="K163" s="577"/>
      <c r="L163" s="578"/>
      <c r="M163" s="186"/>
      <c r="P163" s="86"/>
      <c r="Q163" s="95"/>
    </row>
    <row r="164" spans="1:17" s="182" customFormat="1" ht="18" customHeight="1" hidden="1" thickBot="1">
      <c r="A164" s="314"/>
      <c r="B164" s="576"/>
      <c r="C164" s="576"/>
      <c r="D164" s="576"/>
      <c r="E164" s="576"/>
      <c r="F164" s="576"/>
      <c r="G164" s="576"/>
      <c r="H164" s="576"/>
      <c r="I164" s="576"/>
      <c r="J164" s="577"/>
      <c r="K164" s="577"/>
      <c r="L164" s="578"/>
      <c r="M164" s="186"/>
      <c r="P164" s="86"/>
      <c r="Q164" s="95"/>
    </row>
    <row r="165" spans="1:17" ht="18" customHeight="1" hidden="1" thickBot="1">
      <c r="A165" s="898" t="s">
        <v>370</v>
      </c>
      <c r="B165" s="899"/>
      <c r="C165" s="899"/>
      <c r="D165" s="899"/>
      <c r="E165" s="899"/>
      <c r="F165" s="899"/>
      <c r="G165" s="899"/>
      <c r="H165" s="899"/>
      <c r="I165" s="900"/>
      <c r="J165" s="901">
        <f>K78+L146</f>
        <v>538666.0352117299</v>
      </c>
      <c r="K165" s="902"/>
      <c r="L165" s="903"/>
      <c r="M165" s="186">
        <f>J165+K165</f>
        <v>538666.0352117299</v>
      </c>
      <c r="P165" s="569"/>
      <c r="Q165" s="570"/>
    </row>
    <row r="166" spans="1:17" ht="18" customHeight="1" hidden="1">
      <c r="A166" s="314"/>
      <c r="B166" s="315"/>
      <c r="C166" s="315"/>
      <c r="D166" s="315"/>
      <c r="E166" s="315"/>
      <c r="F166" s="315"/>
      <c r="G166" s="315"/>
      <c r="H166" s="575"/>
      <c r="I166" s="315"/>
      <c r="J166" s="551"/>
      <c r="K166" s="551"/>
      <c r="L166" s="552"/>
      <c r="M166" s="186"/>
      <c r="P166" s="86"/>
      <c r="Q166" s="95"/>
    </row>
    <row r="167" spans="1:17" ht="18" customHeight="1" hidden="1">
      <c r="A167" s="314"/>
      <c r="B167" s="315"/>
      <c r="C167" s="315"/>
      <c r="D167" s="315"/>
      <c r="E167" s="315"/>
      <c r="F167" s="315"/>
      <c r="G167" s="315"/>
      <c r="H167" s="575"/>
      <c r="I167" s="315"/>
      <c r="J167" s="551"/>
      <c r="K167" s="551"/>
      <c r="L167" s="552"/>
      <c r="M167" s="186"/>
      <c r="P167" s="86"/>
      <c r="Q167" s="95"/>
    </row>
    <row r="168" spans="1:17" ht="18" customHeight="1" hidden="1">
      <c r="A168" s="314"/>
      <c r="B168" s="315"/>
      <c r="C168" s="315"/>
      <c r="D168" s="315"/>
      <c r="E168" s="315"/>
      <c r="F168" s="315"/>
      <c r="G168" s="315"/>
      <c r="H168" s="575"/>
      <c r="I168" s="315"/>
      <c r="J168" s="315"/>
      <c r="K168" s="315"/>
      <c r="L168" s="316"/>
      <c r="P168" s="86"/>
      <c r="Q168" s="95"/>
    </row>
    <row r="169" spans="1:17" ht="12.75" hidden="1">
      <c r="A169" s="895" t="s">
        <v>241</v>
      </c>
      <c r="B169" s="896"/>
      <c r="C169" s="896"/>
      <c r="D169" s="896"/>
      <c r="E169" s="896"/>
      <c r="F169" s="896"/>
      <c r="G169" s="896"/>
      <c r="H169" s="896"/>
      <c r="I169" s="896"/>
      <c r="J169" s="896"/>
      <c r="K169" s="896"/>
      <c r="L169" s="897"/>
      <c r="P169" s="86"/>
      <c r="Q169" s="95"/>
    </row>
    <row r="170" spans="1:17" ht="12.75" hidden="1">
      <c r="A170" s="895" t="s">
        <v>246</v>
      </c>
      <c r="B170" s="896"/>
      <c r="C170" s="896"/>
      <c r="D170" s="896"/>
      <c r="E170" s="896"/>
      <c r="F170" s="896"/>
      <c r="G170" s="896"/>
      <c r="H170" s="896"/>
      <c r="I170" s="896"/>
      <c r="J170" s="896"/>
      <c r="K170" s="896"/>
      <c r="L170" s="897"/>
      <c r="P170" s="86"/>
      <c r="Q170" s="95"/>
    </row>
    <row r="171" spans="1:12" ht="15" customHeight="1">
      <c r="A171" s="892"/>
      <c r="B171" s="893"/>
      <c r="C171" s="893"/>
      <c r="D171" s="893"/>
      <c r="E171" s="893"/>
      <c r="F171" s="893"/>
      <c r="G171" s="893"/>
      <c r="H171" s="893"/>
      <c r="I171" s="893"/>
      <c r="J171" s="893"/>
      <c r="K171" s="893"/>
      <c r="L171" s="894"/>
    </row>
    <row r="172" spans="1:12" ht="12.75">
      <c r="A172" s="13"/>
      <c r="B172" s="14"/>
      <c r="C172" s="14"/>
      <c r="D172" s="14"/>
      <c r="E172" s="14"/>
      <c r="F172" s="14"/>
      <c r="G172" s="14"/>
      <c r="H172" s="160"/>
      <c r="I172" s="14"/>
      <c r="J172" s="14"/>
      <c r="K172" s="14"/>
      <c r="L172" s="15"/>
    </row>
    <row r="173" spans="1:17" s="182" customFormat="1" ht="11.25">
      <c r="A173" s="13"/>
      <c r="B173" s="96"/>
      <c r="C173" s="96"/>
      <c r="D173" s="14"/>
      <c r="E173" s="14"/>
      <c r="F173" s="14"/>
      <c r="G173" s="14"/>
      <c r="H173" s="160"/>
      <c r="I173" s="14"/>
      <c r="J173" s="14"/>
      <c r="K173" s="14"/>
      <c r="L173" s="15"/>
      <c r="P173" s="76"/>
      <c r="Q173" s="91"/>
    </row>
    <row r="174" spans="1:17" s="182" customFormat="1" ht="12.75" customHeight="1">
      <c r="A174" s="183"/>
      <c r="B174" s="881" t="s">
        <v>23</v>
      </c>
      <c r="C174" s="881"/>
      <c r="D174" s="184"/>
      <c r="E174" s="881" t="s">
        <v>28</v>
      </c>
      <c r="F174" s="881"/>
      <c r="G174" s="881"/>
      <c r="H174" s="881"/>
      <c r="I174" s="5"/>
      <c r="J174" s="5"/>
      <c r="K174" s="5"/>
      <c r="L174" s="185"/>
      <c r="P174" s="76"/>
      <c r="Q174" s="91"/>
    </row>
    <row r="175" spans="1:18" s="182" customFormat="1" ht="11.25">
      <c r="A175" s="183"/>
      <c r="B175" s="881" t="s">
        <v>22</v>
      </c>
      <c r="C175" s="881"/>
      <c r="D175" s="184"/>
      <c r="E175" s="881" t="str">
        <f>H12</f>
        <v>ART Nº5.073.375</v>
      </c>
      <c r="F175" s="881"/>
      <c r="G175" s="881"/>
      <c r="H175" s="881"/>
      <c r="I175" s="5"/>
      <c r="J175" s="5"/>
      <c r="K175" s="5"/>
      <c r="L175" s="185"/>
      <c r="P175" s="76"/>
      <c r="Q175" s="91"/>
      <c r="R175" s="186"/>
    </row>
    <row r="176" spans="1:17" s="182" customFormat="1" ht="11.25">
      <c r="A176" s="187"/>
      <c r="B176" s="188"/>
      <c r="C176" s="188"/>
      <c r="D176" s="188"/>
      <c r="E176" s="188"/>
      <c r="F176" s="188"/>
      <c r="G176" s="188"/>
      <c r="H176" s="75"/>
      <c r="I176" s="188"/>
      <c r="J176" s="188"/>
      <c r="K176" s="188"/>
      <c r="L176" s="189"/>
      <c r="P176" s="76"/>
      <c r="Q176" s="91"/>
    </row>
    <row r="177" spans="1:17" s="182" customFormat="1" ht="11.25">
      <c r="A177" s="187"/>
      <c r="B177" s="188"/>
      <c r="C177" s="188"/>
      <c r="D177" s="188"/>
      <c r="E177" s="188"/>
      <c r="F177" s="188"/>
      <c r="G177" s="188"/>
      <c r="H177" s="75"/>
      <c r="I177" s="188"/>
      <c r="J177" s="188"/>
      <c r="K177" s="188"/>
      <c r="L177" s="189"/>
      <c r="P177" s="76"/>
      <c r="Q177" s="91"/>
    </row>
    <row r="178" spans="1:17" s="182" customFormat="1" ht="11.25">
      <c r="A178" s="187"/>
      <c r="B178" s="188"/>
      <c r="C178" s="188"/>
      <c r="D178" s="188"/>
      <c r="E178" s="188"/>
      <c r="F178" s="188"/>
      <c r="G178" s="188"/>
      <c r="H178" s="75"/>
      <c r="I178" s="188"/>
      <c r="J178" s="188"/>
      <c r="K178" s="188"/>
      <c r="L178" s="189"/>
      <c r="P178" s="76"/>
      <c r="Q178" s="91"/>
    </row>
    <row r="179" spans="1:17" s="182" customFormat="1" ht="11.25">
      <c r="A179" s="187"/>
      <c r="B179" s="190"/>
      <c r="C179" s="190"/>
      <c r="D179" s="188"/>
      <c r="E179" s="188"/>
      <c r="F179" s="188"/>
      <c r="G179" s="188"/>
      <c r="H179" s="75"/>
      <c r="I179" s="188"/>
      <c r="J179" s="188"/>
      <c r="K179" s="188"/>
      <c r="L179" s="189"/>
      <c r="P179" s="76"/>
      <c r="Q179" s="91"/>
    </row>
    <row r="180" spans="1:17" s="182" customFormat="1" ht="11.25" customHeight="1">
      <c r="A180" s="183"/>
      <c r="B180" s="881" t="s">
        <v>354</v>
      </c>
      <c r="C180" s="881"/>
      <c r="D180" s="184"/>
      <c r="E180" s="881"/>
      <c r="F180" s="881"/>
      <c r="G180" s="881"/>
      <c r="H180" s="881"/>
      <c r="I180" s="5"/>
      <c r="J180" s="5"/>
      <c r="K180" s="5"/>
      <c r="L180" s="191"/>
      <c r="P180" s="76"/>
      <c r="Q180" s="91"/>
    </row>
    <row r="181" spans="1:17" s="182" customFormat="1" ht="11.25">
      <c r="A181" s="183"/>
      <c r="B181" s="881" t="s">
        <v>355</v>
      </c>
      <c r="C181" s="881"/>
      <c r="D181" s="184"/>
      <c r="E181" s="881"/>
      <c r="F181" s="881"/>
      <c r="G181" s="881"/>
      <c r="H181" s="881"/>
      <c r="I181" s="5"/>
      <c r="J181" s="5"/>
      <c r="K181" s="5"/>
      <c r="L181" s="185"/>
      <c r="P181" s="76"/>
      <c r="Q181" s="91"/>
    </row>
    <row r="182" spans="1:12" ht="13.5" thickBot="1">
      <c r="A182" s="6"/>
      <c r="B182" s="87"/>
      <c r="C182" s="87"/>
      <c r="D182" s="7"/>
      <c r="E182" s="87"/>
      <c r="F182" s="87"/>
      <c r="G182" s="87"/>
      <c r="H182" s="162"/>
      <c r="I182" s="87"/>
      <c r="J182" s="87"/>
      <c r="K182" s="87"/>
      <c r="L182" s="8"/>
    </row>
    <row r="183" spans="1:12" ht="12.75">
      <c r="A183" s="2"/>
      <c r="B183" s="3"/>
      <c r="C183" s="3"/>
      <c r="D183" s="2"/>
      <c r="E183" s="3"/>
      <c r="F183" s="3"/>
      <c r="G183" s="3"/>
      <c r="H183" s="161"/>
      <c r="I183" s="3"/>
      <c r="J183" s="3"/>
      <c r="K183" s="3"/>
      <c r="L183" s="2"/>
    </row>
    <row r="186" spans="4:17" s="182" customFormat="1" ht="11.25">
      <c r="D186" s="505"/>
      <c r="H186" s="63"/>
      <c r="P186" s="76"/>
      <c r="Q186" s="91"/>
    </row>
  </sheetData>
  <sheetProtection password="D28B" sheet="1"/>
  <mergeCells count="35">
    <mergeCell ref="J165:L165"/>
    <mergeCell ref="A78:I78"/>
    <mergeCell ref="A17:L17"/>
    <mergeCell ref="A15:D15"/>
    <mergeCell ref="H15:H16"/>
    <mergeCell ref="E15:E16"/>
    <mergeCell ref="A16:D16"/>
    <mergeCell ref="B150:K150"/>
    <mergeCell ref="B181:C181"/>
    <mergeCell ref="E181:H181"/>
    <mergeCell ref="B180:C180"/>
    <mergeCell ref="A146:I146"/>
    <mergeCell ref="A171:L171"/>
    <mergeCell ref="B175:C175"/>
    <mergeCell ref="A169:L169"/>
    <mergeCell ref="A170:L170"/>
    <mergeCell ref="E180:H180"/>
    <mergeCell ref="A165:I165"/>
    <mergeCell ref="E175:H175"/>
    <mergeCell ref="B174:C174"/>
    <mergeCell ref="E174:H174"/>
    <mergeCell ref="A2:L2"/>
    <mergeCell ref="A3:L3"/>
    <mergeCell ref="A4:L4"/>
    <mergeCell ref="A8:L8"/>
    <mergeCell ref="H11:L11"/>
    <mergeCell ref="A13:E13"/>
    <mergeCell ref="A12:E12"/>
    <mergeCell ref="H12:L12"/>
    <mergeCell ref="A7:L7"/>
    <mergeCell ref="A11:E11"/>
    <mergeCell ref="A9:L9"/>
    <mergeCell ref="A14:D14"/>
    <mergeCell ref="E14:L14"/>
    <mergeCell ref="H13:L13"/>
  </mergeCells>
  <printOptions/>
  <pageMargins left="0.7874015748031497" right="0.1968503937007874" top="0.3937007874015748" bottom="0.4724409448818898" header="0" footer="0"/>
  <pageSetup horizontalDpi="600" verticalDpi="600" orientation="landscape" paperSize="9" scale="75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3"/>
  <sheetViews>
    <sheetView zoomScale="89" zoomScaleNormal="89" zoomScalePageLayoutView="0" workbookViewId="0" topLeftCell="A1">
      <selection activeCell="A3" sqref="A3:L3"/>
    </sheetView>
  </sheetViews>
  <sheetFormatPr defaultColWidth="9.140625" defaultRowHeight="12.75"/>
  <cols>
    <col min="1" max="1" width="5.421875" style="1" bestFit="1" customWidth="1"/>
    <col min="2" max="2" width="12.00390625" style="1" customWidth="1"/>
    <col min="3" max="3" width="43.7109375" style="1" customWidth="1"/>
    <col min="4" max="4" width="9.00390625" style="1" customWidth="1"/>
    <col min="5" max="5" width="13.421875" style="1" hidden="1" customWidth="1"/>
    <col min="6" max="6" width="19.28125" style="1" hidden="1" customWidth="1"/>
    <col min="7" max="7" width="16.421875" style="1" customWidth="1"/>
    <col min="8" max="8" width="12.28125" style="4" customWidth="1"/>
    <col min="9" max="9" width="12.28125" style="1" customWidth="1"/>
    <col min="10" max="10" width="13.57421875" style="1" hidden="1" customWidth="1"/>
    <col min="11" max="11" width="12.28125" style="1" hidden="1" customWidth="1"/>
    <col min="12" max="12" width="12.00390625" style="1" customWidth="1"/>
    <col min="13" max="13" width="15.00390625" style="182" hidden="1" customWidth="1"/>
    <col min="14" max="15" width="8.140625" style="1" hidden="1" customWidth="1"/>
    <col min="16" max="16" width="13.28125" style="76" hidden="1" customWidth="1"/>
    <col min="17" max="17" width="16.57421875" style="91" hidden="1" customWidth="1"/>
    <col min="18" max="18" width="0" style="1" hidden="1" customWidth="1"/>
    <col min="19" max="16384" width="9.140625" style="1" customWidth="1"/>
  </cols>
  <sheetData>
    <row r="1" spans="1:12" ht="12.75">
      <c r="A1" s="77"/>
      <c r="B1" s="78"/>
      <c r="C1" s="78"/>
      <c r="D1" s="78"/>
      <c r="E1" s="78"/>
      <c r="F1" s="78"/>
      <c r="G1" s="78"/>
      <c r="H1" s="159"/>
      <c r="I1" s="78"/>
      <c r="J1" s="78"/>
      <c r="K1" s="78"/>
      <c r="L1" s="79"/>
    </row>
    <row r="2" spans="1:12" ht="20.25">
      <c r="A2" s="882" t="s">
        <v>440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4"/>
    </row>
    <row r="3" spans="1:12" ht="12.75">
      <c r="A3" s="885" t="s">
        <v>431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7"/>
    </row>
    <row r="4" spans="1:12" ht="12.75">
      <c r="A4" s="885" t="s">
        <v>291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7"/>
    </row>
    <row r="5" spans="1:12" ht="20.25" customHeight="1" thickBot="1">
      <c r="A5" s="81"/>
      <c r="B5" s="82"/>
      <c r="C5" s="82"/>
      <c r="D5" s="82"/>
      <c r="E5" s="82"/>
      <c r="F5" s="82"/>
      <c r="G5" s="82"/>
      <c r="H5" s="85"/>
      <c r="I5" s="82"/>
      <c r="J5" s="82"/>
      <c r="K5" s="82"/>
      <c r="L5" s="84"/>
    </row>
    <row r="6" ht="3.75" customHeight="1" thickBot="1"/>
    <row r="7" spans="1:17" s="4" customFormat="1" ht="16.5" thickBot="1">
      <c r="A7" s="877" t="s">
        <v>417</v>
      </c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9"/>
      <c r="M7" s="63"/>
      <c r="P7" s="62"/>
      <c r="Q7" s="92"/>
    </row>
    <row r="8" spans="1:17" s="4" customFormat="1" ht="3.75" customHeight="1" thickBot="1">
      <c r="A8" s="888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63"/>
      <c r="P8" s="62"/>
      <c r="Q8" s="92"/>
    </row>
    <row r="9" spans="1:17" s="4" customFormat="1" ht="19.5" customHeight="1" thickBot="1">
      <c r="A9" s="688" t="s">
        <v>418</v>
      </c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90"/>
      <c r="M9" s="63"/>
      <c r="P9" s="62"/>
      <c r="Q9" s="92"/>
    </row>
    <row r="10" spans="1:17" s="4" customFormat="1" ht="3.75" customHeight="1" thickBo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3"/>
      <c r="P10" s="62"/>
      <c r="Q10" s="92"/>
    </row>
    <row r="11" spans="1:17" s="4" customFormat="1" ht="15" customHeight="1">
      <c r="A11" s="691" t="s">
        <v>178</v>
      </c>
      <c r="B11" s="692"/>
      <c r="C11" s="692"/>
      <c r="D11" s="692"/>
      <c r="E11" s="692"/>
      <c r="F11" s="320"/>
      <c r="G11" s="320"/>
      <c r="H11" s="693" t="s">
        <v>200</v>
      </c>
      <c r="I11" s="694"/>
      <c r="J11" s="694"/>
      <c r="K11" s="694"/>
      <c r="L11" s="695"/>
      <c r="M11" s="63"/>
      <c r="P11" s="62"/>
      <c r="Q11" s="92"/>
    </row>
    <row r="12" spans="1:17" s="4" customFormat="1" ht="26.25" customHeight="1">
      <c r="A12" s="696" t="s">
        <v>234</v>
      </c>
      <c r="B12" s="697"/>
      <c r="C12" s="697"/>
      <c r="D12" s="697"/>
      <c r="E12" s="698"/>
      <c r="F12" s="321" t="s">
        <v>413</v>
      </c>
      <c r="G12" s="391"/>
      <c r="H12" s="699"/>
      <c r="I12" s="700"/>
      <c r="J12" s="700"/>
      <c r="K12" s="700"/>
      <c r="L12" s="701"/>
      <c r="M12" s="629"/>
      <c r="P12" s="62"/>
      <c r="Q12" s="92"/>
    </row>
    <row r="13" spans="1:17" s="4" customFormat="1" ht="24.75" customHeight="1">
      <c r="A13" s="696" t="s">
        <v>235</v>
      </c>
      <c r="B13" s="697"/>
      <c r="C13" s="697"/>
      <c r="D13" s="697"/>
      <c r="E13" s="698"/>
      <c r="F13" s="321" t="s">
        <v>414</v>
      </c>
      <c r="G13" s="391"/>
      <c r="H13" s="707" t="s">
        <v>432</v>
      </c>
      <c r="I13" s="703"/>
      <c r="J13" s="703"/>
      <c r="K13" s="703"/>
      <c r="L13" s="704"/>
      <c r="M13" s="63"/>
      <c r="P13" s="62"/>
      <c r="Q13" s="92"/>
    </row>
    <row r="14" spans="1:17" s="4" customFormat="1" ht="30" customHeight="1">
      <c r="A14" s="696" t="s">
        <v>434</v>
      </c>
      <c r="B14" s="697"/>
      <c r="C14" s="697"/>
      <c r="D14" s="698"/>
      <c r="E14" s="699" t="s">
        <v>9</v>
      </c>
      <c r="F14" s="880"/>
      <c r="G14" s="880"/>
      <c r="H14" s="700"/>
      <c r="I14" s="700"/>
      <c r="J14" s="700"/>
      <c r="K14" s="700"/>
      <c r="L14" s="701"/>
      <c r="M14" s="63"/>
      <c r="P14" s="62"/>
      <c r="Q14" s="92"/>
    </row>
    <row r="15" spans="1:17" s="4" customFormat="1" ht="19.5" customHeight="1">
      <c r="A15" s="705" t="s">
        <v>433</v>
      </c>
      <c r="B15" s="706"/>
      <c r="C15" s="706"/>
      <c r="D15" s="707"/>
      <c r="E15" s="708" t="s">
        <v>6</v>
      </c>
      <c r="F15" s="356"/>
      <c r="G15" s="356"/>
      <c r="H15" s="710"/>
      <c r="I15" s="70" t="s">
        <v>19</v>
      </c>
      <c r="J15" s="70"/>
      <c r="K15" s="70"/>
      <c r="L15" s="71" t="s">
        <v>5</v>
      </c>
      <c r="M15" s="63"/>
      <c r="P15" s="62"/>
      <c r="Q15" s="92"/>
    </row>
    <row r="16" spans="1:17" s="4" customFormat="1" ht="19.5" customHeight="1" thickBot="1">
      <c r="A16" s="712" t="s">
        <v>373</v>
      </c>
      <c r="B16" s="713"/>
      <c r="C16" s="713"/>
      <c r="D16" s="714"/>
      <c r="E16" s="709"/>
      <c r="F16" s="357"/>
      <c r="G16" s="357"/>
      <c r="H16" s="711"/>
      <c r="I16" s="72" t="s">
        <v>7</v>
      </c>
      <c r="J16" s="72"/>
      <c r="K16" s="72"/>
      <c r="L16" s="73">
        <v>0.2204</v>
      </c>
      <c r="M16" s="63"/>
      <c r="P16" s="62"/>
      <c r="Q16" s="92"/>
    </row>
    <row r="17" spans="1:17" s="4" customFormat="1" ht="3.75" customHeight="1" thickBot="1">
      <c r="A17" s="716"/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63"/>
      <c r="P17" s="62"/>
      <c r="Q17" s="92"/>
    </row>
    <row r="18" spans="1:17" s="4" customFormat="1" ht="60" customHeight="1" hidden="1" thickBot="1">
      <c r="A18" s="138" t="s">
        <v>0</v>
      </c>
      <c r="B18" s="136" t="s">
        <v>3</v>
      </c>
      <c r="C18" s="69" t="s">
        <v>1</v>
      </c>
      <c r="D18" s="136" t="s">
        <v>2</v>
      </c>
      <c r="E18" s="359" t="s">
        <v>271</v>
      </c>
      <c r="F18" s="386" t="s">
        <v>362</v>
      </c>
      <c r="G18" s="382" t="s">
        <v>365</v>
      </c>
      <c r="H18" s="364" t="s">
        <v>10</v>
      </c>
      <c r="I18" s="74" t="s">
        <v>11</v>
      </c>
      <c r="J18" s="364" t="s">
        <v>273</v>
      </c>
      <c r="K18" s="376" t="s">
        <v>363</v>
      </c>
      <c r="L18" s="360" t="s">
        <v>364</v>
      </c>
      <c r="M18" s="63"/>
      <c r="P18" s="157" t="s">
        <v>45</v>
      </c>
      <c r="Q18" s="158" t="s">
        <v>81</v>
      </c>
    </row>
    <row r="19" spans="1:17" s="4" customFormat="1" ht="12.75" hidden="1">
      <c r="A19" s="195"/>
      <c r="B19" s="198"/>
      <c r="C19" s="166"/>
      <c r="D19" s="531"/>
      <c r="E19" s="374"/>
      <c r="F19" s="377"/>
      <c r="G19" s="532"/>
      <c r="H19" s="374"/>
      <c r="I19" s="370"/>
      <c r="J19" s="374"/>
      <c r="K19" s="377"/>
      <c r="L19" s="361"/>
      <c r="M19" s="63"/>
      <c r="P19" s="62"/>
      <c r="Q19" s="92"/>
    </row>
    <row r="20" spans="1:17" s="4" customFormat="1" ht="12.75" hidden="1">
      <c r="A20" s="533"/>
      <c r="B20" s="534"/>
      <c r="C20" s="533" t="s">
        <v>372</v>
      </c>
      <c r="D20" s="535"/>
      <c r="E20" s="536"/>
      <c r="F20" s="537"/>
      <c r="G20" s="538"/>
      <c r="H20" s="536"/>
      <c r="I20" s="539"/>
      <c r="J20" s="536"/>
      <c r="K20" s="537"/>
      <c r="L20" s="540"/>
      <c r="M20" s="63"/>
      <c r="P20" s="62"/>
      <c r="Q20" s="92"/>
    </row>
    <row r="21" spans="1:17" s="4" customFormat="1" ht="12.75" hidden="1">
      <c r="A21" s="196"/>
      <c r="B21" s="199"/>
      <c r="C21" s="167"/>
      <c r="D21" s="172"/>
      <c r="E21" s="365"/>
      <c r="F21" s="387"/>
      <c r="G21" s="178"/>
      <c r="H21" s="365"/>
      <c r="I21" s="506"/>
      <c r="J21" s="365"/>
      <c r="K21" s="387"/>
      <c r="L21" s="507"/>
      <c r="M21" s="63"/>
      <c r="P21" s="62"/>
      <c r="Q21" s="92"/>
    </row>
    <row r="22" spans="1:17" s="61" customFormat="1" ht="18" customHeight="1" hidden="1">
      <c r="A22" s="196">
        <v>1</v>
      </c>
      <c r="B22" s="199"/>
      <c r="C22" s="167" t="s">
        <v>20</v>
      </c>
      <c r="D22" s="172"/>
      <c r="E22" s="366"/>
      <c r="F22" s="378"/>
      <c r="G22" s="179"/>
      <c r="H22" s="366"/>
      <c r="I22" s="371"/>
      <c r="J22" s="366">
        <f>SUM(J23:J24)</f>
        <v>933.8249999999999</v>
      </c>
      <c r="K22" s="378">
        <f>SUM(K23:K24)</f>
        <v>933.8249999999999</v>
      </c>
      <c r="L22" s="362">
        <f>SUM(L23:L24)</f>
        <v>0</v>
      </c>
      <c r="M22" s="630"/>
      <c r="Q22" s="93"/>
    </row>
    <row r="23" spans="1:17" s="4" customFormat="1" ht="12.75" hidden="1">
      <c r="A23" s="137" t="s">
        <v>13</v>
      </c>
      <c r="B23" s="200" t="s">
        <v>368</v>
      </c>
      <c r="C23" s="168" t="s">
        <v>48</v>
      </c>
      <c r="D23" s="173" t="s">
        <v>12</v>
      </c>
      <c r="E23" s="383">
        <v>2.5</v>
      </c>
      <c r="F23" s="388">
        <f>' ÚLTIMA MEDIÇÃO - BM Nº5'!BR23</f>
        <v>2.5</v>
      </c>
      <c r="G23" s="358">
        <f>E23-F23</f>
        <v>0</v>
      </c>
      <c r="H23" s="367">
        <f>'PLANILHA DA PROPOSTA'!G29</f>
        <v>373.53</v>
      </c>
      <c r="I23" s="372">
        <f>'PLANILHA DA PROPOSTA'!G29</f>
        <v>373.53</v>
      </c>
      <c r="J23" s="367">
        <f>E23*I23</f>
        <v>933.8249999999999</v>
      </c>
      <c r="K23" s="379">
        <f>F23*I23</f>
        <v>933.8249999999999</v>
      </c>
      <c r="L23" s="181">
        <f>G23*I23</f>
        <v>0</v>
      </c>
      <c r="M23" s="63"/>
      <c r="P23" s="88">
        <f>'MEMÓRIA DE CÁLCULO'!I38</f>
        <v>0</v>
      </c>
      <c r="Q23" s="88">
        <f>E23-P23</f>
        <v>2.5</v>
      </c>
    </row>
    <row r="24" spans="1:17" s="4" customFormat="1" ht="12.75" hidden="1">
      <c r="A24" s="137"/>
      <c r="B24" s="200"/>
      <c r="C24" s="168"/>
      <c r="D24" s="173"/>
      <c r="E24" s="367"/>
      <c r="F24" s="388"/>
      <c r="G24" s="358"/>
      <c r="H24" s="367"/>
      <c r="I24" s="372"/>
      <c r="J24" s="367"/>
      <c r="K24" s="379"/>
      <c r="L24" s="181"/>
      <c r="M24" s="63"/>
      <c r="P24" s="88"/>
      <c r="Q24" s="88"/>
    </row>
    <row r="25" spans="1:17" s="61" customFormat="1" ht="12.75" hidden="1">
      <c r="A25" s="197">
        <v>2</v>
      </c>
      <c r="B25" s="201"/>
      <c r="C25" s="169" t="s">
        <v>30</v>
      </c>
      <c r="D25" s="174"/>
      <c r="E25" s="384"/>
      <c r="F25" s="388"/>
      <c r="G25" s="358"/>
      <c r="H25" s="367"/>
      <c r="I25" s="372"/>
      <c r="J25" s="384">
        <f>SUM(J26:J37)</f>
        <v>191652.3872</v>
      </c>
      <c r="K25" s="389">
        <f>SUM(K26:K37)</f>
        <v>154078.4418</v>
      </c>
      <c r="L25" s="375">
        <f>SUM(L26:L37)</f>
        <v>37573.9454</v>
      </c>
      <c r="M25" s="630"/>
      <c r="P25" s="88"/>
      <c r="Q25" s="88"/>
    </row>
    <row r="26" spans="1:17" s="4" customFormat="1" ht="45" hidden="1">
      <c r="A26" s="137" t="s">
        <v>14</v>
      </c>
      <c r="B26" s="200" t="s">
        <v>368</v>
      </c>
      <c r="C26" s="168" t="s">
        <v>249</v>
      </c>
      <c r="D26" s="164" t="s">
        <v>17</v>
      </c>
      <c r="E26" s="367">
        <v>719.28</v>
      </c>
      <c r="F26" s="388">
        <f>' ÚLTIMA MEDIÇÃO - BM Nº5'!BR26</f>
        <v>654.72</v>
      </c>
      <c r="G26" s="358">
        <f aca="true" t="shared" si="0" ref="G26:G75">E26-F26</f>
        <v>64.55999999999995</v>
      </c>
      <c r="H26" s="367">
        <f>'PLANILHA DA PROPOSTA'!F32</f>
        <v>3.25</v>
      </c>
      <c r="I26" s="372">
        <f>'PLANILHA DA PROPOSTA'!G32</f>
        <v>3.97</v>
      </c>
      <c r="J26" s="367">
        <f aca="true" t="shared" si="1" ref="J26:J37">E26*I26</f>
        <v>2855.5416</v>
      </c>
      <c r="K26" s="379">
        <f aca="true" t="shared" si="2" ref="K26:K37">F26*I26</f>
        <v>2599.2384</v>
      </c>
      <c r="L26" s="181">
        <f aca="true" t="shared" si="3" ref="L26:L37">G26*I26</f>
        <v>256.3031999999998</v>
      </c>
      <c r="M26" s="63"/>
      <c r="P26" s="88">
        <f>'MEMÓRIA DE CÁLCULO'!I42</f>
        <v>0</v>
      </c>
      <c r="Q26" s="88">
        <f aca="true" t="shared" si="4" ref="Q26:Q34">E26-P26</f>
        <v>719.28</v>
      </c>
    </row>
    <row r="27" spans="1:17" s="4" customFormat="1" ht="12.75" hidden="1">
      <c r="A27" s="137" t="s">
        <v>15</v>
      </c>
      <c r="B27" s="200" t="s">
        <v>368</v>
      </c>
      <c r="C27" s="168" t="s">
        <v>84</v>
      </c>
      <c r="D27" s="164" t="s">
        <v>12</v>
      </c>
      <c r="E27" s="367">
        <v>462</v>
      </c>
      <c r="F27" s="388">
        <f>' ÚLTIMA MEDIÇÃO - BM Nº5'!BR27</f>
        <v>421.8</v>
      </c>
      <c r="G27" s="358">
        <f t="shared" si="0"/>
        <v>40.19999999999999</v>
      </c>
      <c r="H27" s="367">
        <f>'PLANILHA DA PROPOSTA'!F33</f>
        <v>16.91</v>
      </c>
      <c r="I27" s="372">
        <f>'PLANILHA DA PROPOSTA'!G33</f>
        <v>20.64</v>
      </c>
      <c r="J27" s="367">
        <f t="shared" si="1"/>
        <v>9535.68</v>
      </c>
      <c r="K27" s="379">
        <f t="shared" si="2"/>
        <v>8705.952000000001</v>
      </c>
      <c r="L27" s="181">
        <f t="shared" si="3"/>
        <v>829.7279999999998</v>
      </c>
      <c r="M27" s="63"/>
      <c r="P27" s="88">
        <f>'MEMÓRIA DE CÁLCULO'!I43</f>
        <v>0</v>
      </c>
      <c r="Q27" s="88">
        <f t="shared" si="4"/>
        <v>462</v>
      </c>
    </row>
    <row r="28" spans="1:17" s="4" customFormat="1" ht="43.5" customHeight="1" hidden="1">
      <c r="A28" s="137" t="s">
        <v>16</v>
      </c>
      <c r="B28" s="200" t="s">
        <v>368</v>
      </c>
      <c r="C28" s="168" t="s">
        <v>155</v>
      </c>
      <c r="D28" s="164" t="s">
        <v>18</v>
      </c>
      <c r="E28" s="367">
        <v>258</v>
      </c>
      <c r="F28" s="388">
        <f>' ÚLTIMA MEDIÇÃO - BM Nº5'!BR28</f>
        <v>222.00000000000003</v>
      </c>
      <c r="G28" s="358">
        <f t="shared" si="0"/>
        <v>35.99999999999997</v>
      </c>
      <c r="H28" s="367">
        <f>'PLANILHA DA PROPOSTA'!F34</f>
        <v>64.93</v>
      </c>
      <c r="I28" s="372">
        <f>'PLANILHA DA PROPOSTA'!G34</f>
        <v>79.24</v>
      </c>
      <c r="J28" s="367">
        <f t="shared" si="1"/>
        <v>20443.92</v>
      </c>
      <c r="K28" s="379">
        <f t="shared" si="2"/>
        <v>17591.280000000002</v>
      </c>
      <c r="L28" s="181">
        <f t="shared" si="3"/>
        <v>2852.6399999999976</v>
      </c>
      <c r="M28" s="631"/>
      <c r="N28" s="97"/>
      <c r="O28" s="97"/>
      <c r="P28" s="88">
        <f>'MEMÓRIA DE CÁLCULO'!I44</f>
        <v>2092.9125</v>
      </c>
      <c r="Q28" s="88">
        <f t="shared" si="4"/>
        <v>-1834.9125</v>
      </c>
    </row>
    <row r="29" spans="1:17" s="4" customFormat="1" ht="57" customHeight="1" hidden="1">
      <c r="A29" s="137" t="s">
        <v>56</v>
      </c>
      <c r="B29" s="200" t="s">
        <v>368</v>
      </c>
      <c r="C29" s="168" t="s">
        <v>177</v>
      </c>
      <c r="D29" s="164" t="s">
        <v>18</v>
      </c>
      <c r="E29" s="367">
        <v>466</v>
      </c>
      <c r="F29" s="388">
        <f>' ÚLTIMA MEDIÇÃO - BM Nº5'!BR29</f>
        <v>454</v>
      </c>
      <c r="G29" s="358">
        <f t="shared" si="0"/>
        <v>12</v>
      </c>
      <c r="H29" s="367">
        <f>'PLANILHA DA PROPOSTA'!F35</f>
        <v>83.21</v>
      </c>
      <c r="I29" s="372">
        <f>'PLANILHA DA PROPOSTA'!G35</f>
        <v>101.55</v>
      </c>
      <c r="J29" s="367">
        <f t="shared" si="1"/>
        <v>47322.299999999996</v>
      </c>
      <c r="K29" s="379">
        <f t="shared" si="2"/>
        <v>46103.7</v>
      </c>
      <c r="L29" s="181">
        <f t="shared" si="3"/>
        <v>1218.6</v>
      </c>
      <c r="M29" s="631"/>
      <c r="N29" s="97"/>
      <c r="O29" s="97"/>
      <c r="P29" s="88">
        <f>'MEMÓRIA DE CÁLCULO'!I45</f>
        <v>0</v>
      </c>
      <c r="Q29" s="88">
        <f t="shared" si="4"/>
        <v>466</v>
      </c>
    </row>
    <row r="30" spans="1:17" s="4" customFormat="1" ht="55.5" customHeight="1" hidden="1">
      <c r="A30" s="137" t="s">
        <v>57</v>
      </c>
      <c r="B30" s="200" t="s">
        <v>368</v>
      </c>
      <c r="C30" s="168" t="s">
        <v>157</v>
      </c>
      <c r="D30" s="164" t="s">
        <v>18</v>
      </c>
      <c r="E30" s="367">
        <v>46</v>
      </c>
      <c r="F30" s="388">
        <f>' ÚLTIMA MEDIÇÃO - BM Nº5'!BR30</f>
        <v>27.000000000000004</v>
      </c>
      <c r="G30" s="358">
        <f t="shared" si="0"/>
        <v>18.999999999999996</v>
      </c>
      <c r="H30" s="367">
        <f>'PLANILHA DA PROPOSTA'!F36</f>
        <v>136.03</v>
      </c>
      <c r="I30" s="372">
        <f>'PLANILHA DA PROPOSTA'!G36</f>
        <v>166.01</v>
      </c>
      <c r="J30" s="367">
        <f t="shared" si="1"/>
        <v>7636.459999999999</v>
      </c>
      <c r="K30" s="379">
        <f t="shared" si="2"/>
        <v>4482.27</v>
      </c>
      <c r="L30" s="181">
        <f t="shared" si="3"/>
        <v>3154.189999999999</v>
      </c>
      <c r="M30" s="631"/>
      <c r="N30" s="97"/>
      <c r="O30" s="97"/>
      <c r="P30" s="88">
        <f>'MEMÓRIA DE CÁLCULO'!I46</f>
        <v>54.672000000000004</v>
      </c>
      <c r="Q30" s="88">
        <f t="shared" si="4"/>
        <v>-8.672000000000004</v>
      </c>
    </row>
    <row r="31" spans="1:17" s="4" customFormat="1" ht="22.5" hidden="1">
      <c r="A31" s="137" t="s">
        <v>61</v>
      </c>
      <c r="B31" s="200" t="s">
        <v>368</v>
      </c>
      <c r="C31" s="168" t="s">
        <v>86</v>
      </c>
      <c r="D31" s="173" t="s">
        <v>17</v>
      </c>
      <c r="E31" s="367">
        <v>629.52</v>
      </c>
      <c r="F31" s="388">
        <f>' ÚLTIMA MEDIÇÃO - BM Nº5'!BR31</f>
        <v>574.38</v>
      </c>
      <c r="G31" s="358">
        <f t="shared" si="0"/>
        <v>55.139999999999986</v>
      </c>
      <c r="H31" s="367">
        <f>'PLANILHA DA PROPOSTA'!F37</f>
        <v>22.56</v>
      </c>
      <c r="I31" s="372">
        <f>'PLANILHA DA PROPOSTA'!G37</f>
        <v>27.53</v>
      </c>
      <c r="J31" s="367">
        <f t="shared" si="1"/>
        <v>17330.6856</v>
      </c>
      <c r="K31" s="379">
        <f t="shared" si="2"/>
        <v>15812.681400000001</v>
      </c>
      <c r="L31" s="181">
        <f t="shared" si="3"/>
        <v>1518.0041999999996</v>
      </c>
      <c r="M31" s="63"/>
      <c r="P31" s="88">
        <f>'MEMÓRIA DE CÁLCULO'!I47</f>
        <v>0</v>
      </c>
      <c r="Q31" s="88">
        <f t="shared" si="4"/>
        <v>629.52</v>
      </c>
    </row>
    <row r="32" spans="1:17" s="4" customFormat="1" ht="45.75" customHeight="1" hidden="1">
      <c r="A32" s="137" t="s">
        <v>90</v>
      </c>
      <c r="B32" s="200" t="s">
        <v>368</v>
      </c>
      <c r="C32" s="168" t="s">
        <v>88</v>
      </c>
      <c r="D32" s="164" t="s">
        <v>26</v>
      </c>
      <c r="E32" s="367">
        <v>36</v>
      </c>
      <c r="F32" s="388">
        <f>' ÚLTIMA MEDIÇÃO - BM Nº5'!BR32</f>
        <v>14.999999999999998</v>
      </c>
      <c r="G32" s="358">
        <f t="shared" si="0"/>
        <v>21</v>
      </c>
      <c r="H32" s="367">
        <f>'PLANILHA DA PROPOSTA'!F38</f>
        <v>584.9</v>
      </c>
      <c r="I32" s="372">
        <f>'PLANILHA DA PROPOSTA'!G38</f>
        <v>713.81</v>
      </c>
      <c r="J32" s="367">
        <f t="shared" si="1"/>
        <v>25697.159999999996</v>
      </c>
      <c r="K32" s="379">
        <f t="shared" si="2"/>
        <v>10707.149999999998</v>
      </c>
      <c r="L32" s="181">
        <f t="shared" si="3"/>
        <v>14990.009999999998</v>
      </c>
      <c r="M32" s="63"/>
      <c r="P32" s="88">
        <f>'MEMÓRIA DE CÁLCULO'!I48</f>
        <v>2106.5805</v>
      </c>
      <c r="Q32" s="88">
        <f t="shared" si="4"/>
        <v>-2070.5805</v>
      </c>
    </row>
    <row r="33" spans="1:17" s="4" customFormat="1" ht="22.5" hidden="1">
      <c r="A33" s="137" t="s">
        <v>91</v>
      </c>
      <c r="B33" s="200" t="s">
        <v>368</v>
      </c>
      <c r="C33" s="168" t="s">
        <v>89</v>
      </c>
      <c r="D33" s="164" t="s">
        <v>26</v>
      </c>
      <c r="E33" s="367">
        <v>10</v>
      </c>
      <c r="F33" s="388">
        <f>' ÚLTIMA MEDIÇÃO - BM Nº5'!BR33</f>
        <v>5</v>
      </c>
      <c r="G33" s="358">
        <f t="shared" si="0"/>
        <v>5</v>
      </c>
      <c r="H33" s="367">
        <f>'PLANILHA DA PROPOSTA'!F39</f>
        <v>959.65</v>
      </c>
      <c r="I33" s="372">
        <f>'PLANILHA DA PROPOSTA'!G39</f>
        <v>1171.16</v>
      </c>
      <c r="J33" s="367">
        <f t="shared" si="1"/>
        <v>11711.6</v>
      </c>
      <c r="K33" s="379">
        <f t="shared" si="2"/>
        <v>5855.8</v>
      </c>
      <c r="L33" s="181">
        <f t="shared" si="3"/>
        <v>5855.8</v>
      </c>
      <c r="M33" s="62"/>
      <c r="N33" s="63"/>
      <c r="O33" s="63"/>
      <c r="P33" s="88">
        <f>'MEMÓRIA DE CÁLCULO'!I49</f>
        <v>0</v>
      </c>
      <c r="Q33" s="88">
        <f t="shared" si="4"/>
        <v>10</v>
      </c>
    </row>
    <row r="34" spans="1:17" s="4" customFormat="1" ht="22.5" hidden="1">
      <c r="A34" s="137" t="s">
        <v>92</v>
      </c>
      <c r="B34" s="200" t="s">
        <v>368</v>
      </c>
      <c r="C34" s="168" t="s">
        <v>158</v>
      </c>
      <c r="D34" s="164" t="s">
        <v>26</v>
      </c>
      <c r="E34" s="367">
        <v>4</v>
      </c>
      <c r="F34" s="388">
        <f>' ÚLTIMA MEDIÇÃO - BM Nº5'!BR34</f>
        <v>2</v>
      </c>
      <c r="G34" s="358">
        <f t="shared" si="0"/>
        <v>2</v>
      </c>
      <c r="H34" s="367">
        <f>'PLANILHA DA PROPOSTA'!F40</f>
        <v>1195.65</v>
      </c>
      <c r="I34" s="372">
        <f>'PLANILHA DA PROPOSTA'!G40</f>
        <v>1459.17</v>
      </c>
      <c r="J34" s="367">
        <f t="shared" si="1"/>
        <v>5836.68</v>
      </c>
      <c r="K34" s="379">
        <f t="shared" si="2"/>
        <v>2918.34</v>
      </c>
      <c r="L34" s="181">
        <f t="shared" si="3"/>
        <v>2918.34</v>
      </c>
      <c r="M34" s="63"/>
      <c r="P34" s="88">
        <f>'MEMÓRIA DE CÁLCULO'!I50</f>
        <v>3159.87075</v>
      </c>
      <c r="Q34" s="88">
        <f t="shared" si="4"/>
        <v>-3155.87075</v>
      </c>
    </row>
    <row r="35" spans="1:17" s="4" customFormat="1" ht="33.75" hidden="1">
      <c r="A35" s="137" t="s">
        <v>130</v>
      </c>
      <c r="B35" s="200" t="s">
        <v>368</v>
      </c>
      <c r="C35" s="168" t="s">
        <v>253</v>
      </c>
      <c r="D35" s="164" t="s">
        <v>26</v>
      </c>
      <c r="E35" s="367">
        <v>14</v>
      </c>
      <c r="F35" s="388">
        <f>' ÚLTIMA MEDIÇÃO - BM Nº5'!BR35</f>
        <v>7</v>
      </c>
      <c r="G35" s="358">
        <f t="shared" si="0"/>
        <v>7</v>
      </c>
      <c r="H35" s="367">
        <f>'PLANILHA DA PROPOSTA'!F41</f>
        <v>350.29</v>
      </c>
      <c r="I35" s="372">
        <f>'PLANILHA DA PROPOSTA'!G41</f>
        <v>427.49</v>
      </c>
      <c r="J35" s="367">
        <f t="shared" si="1"/>
        <v>5984.860000000001</v>
      </c>
      <c r="K35" s="379">
        <f t="shared" si="2"/>
        <v>2992.4300000000003</v>
      </c>
      <c r="L35" s="181">
        <f t="shared" si="3"/>
        <v>2992.4300000000003</v>
      </c>
      <c r="M35" s="63"/>
      <c r="P35" s="88">
        <f>'MEMÓRIA DE CÁLCULO'!I51</f>
        <v>8426.322</v>
      </c>
      <c r="Q35" s="88">
        <f>E35-P35</f>
        <v>-8412.322</v>
      </c>
    </row>
    <row r="36" spans="1:17" s="4" customFormat="1" ht="33.75" hidden="1">
      <c r="A36" s="137" t="s">
        <v>176</v>
      </c>
      <c r="B36" s="200" t="s">
        <v>368</v>
      </c>
      <c r="C36" s="168" t="s">
        <v>49</v>
      </c>
      <c r="D36" s="164" t="s">
        <v>18</v>
      </c>
      <c r="E36" s="367">
        <v>30</v>
      </c>
      <c r="F36" s="388">
        <f>' ÚLTIMA MEDIÇÃO - BM Nº5'!BR36</f>
        <v>0</v>
      </c>
      <c r="G36" s="358">
        <f t="shared" si="0"/>
        <v>30</v>
      </c>
      <c r="H36" s="367">
        <f>'PLANILHA DA PROPOSTA'!F42</f>
        <v>26.98</v>
      </c>
      <c r="I36" s="372">
        <f>'PLANILHA DA PROPOSTA'!G42</f>
        <v>32.93</v>
      </c>
      <c r="J36" s="367">
        <f t="shared" si="1"/>
        <v>987.9</v>
      </c>
      <c r="K36" s="379">
        <f t="shared" si="2"/>
        <v>0</v>
      </c>
      <c r="L36" s="181">
        <f t="shared" si="3"/>
        <v>987.9</v>
      </c>
      <c r="M36" s="62">
        <f>K89</f>
        <v>0</v>
      </c>
      <c r="N36" s="63">
        <f>M36/I36</f>
        <v>0</v>
      </c>
      <c r="O36" s="63"/>
      <c r="P36" s="88">
        <f>'MEMÓRIA DE CÁLCULO'!I52</f>
        <v>1685.2644</v>
      </c>
      <c r="Q36" s="88">
        <f>E36-P36</f>
        <v>-1655.2644</v>
      </c>
    </row>
    <row r="37" spans="1:17" s="4" customFormat="1" ht="22.5" hidden="1">
      <c r="A37" s="137" t="s">
        <v>252</v>
      </c>
      <c r="B37" s="200" t="s">
        <v>368</v>
      </c>
      <c r="C37" s="168" t="s">
        <v>66</v>
      </c>
      <c r="D37" s="164" t="s">
        <v>18</v>
      </c>
      <c r="E37" s="367">
        <v>840.5</v>
      </c>
      <c r="F37" s="388">
        <f>' ÚLTIMA MEDIÇÃO - BM Nº5'!BR37</f>
        <v>840.5</v>
      </c>
      <c r="G37" s="358">
        <f t="shared" si="0"/>
        <v>0</v>
      </c>
      <c r="H37" s="367">
        <f>'PLANILHA DA PROPOSTA'!F43</f>
        <v>35.4</v>
      </c>
      <c r="I37" s="372">
        <f>'PLANILHA DA PROPOSTA'!G43</f>
        <v>43.2</v>
      </c>
      <c r="J37" s="367">
        <f t="shared" si="1"/>
        <v>36309.600000000006</v>
      </c>
      <c r="K37" s="379">
        <f t="shared" si="2"/>
        <v>36309.600000000006</v>
      </c>
      <c r="L37" s="181">
        <f t="shared" si="3"/>
        <v>0</v>
      </c>
      <c r="M37" s="63"/>
      <c r="P37" s="88">
        <f>'MEMÓRIA DE CÁLCULO'!I53</f>
        <v>10516.049856000001</v>
      </c>
      <c r="Q37" s="88">
        <f>E37-P37</f>
        <v>-9675.549856000001</v>
      </c>
    </row>
    <row r="38" spans="1:17" s="4" customFormat="1" ht="12.75" hidden="1">
      <c r="A38" s="137"/>
      <c r="B38" s="164"/>
      <c r="C38" s="168"/>
      <c r="D38" s="164"/>
      <c r="E38" s="367"/>
      <c r="F38" s="388"/>
      <c r="G38" s="358"/>
      <c r="H38" s="367"/>
      <c r="I38" s="372"/>
      <c r="J38" s="367"/>
      <c r="K38" s="379"/>
      <c r="L38" s="181"/>
      <c r="M38" s="63"/>
      <c r="P38" s="88"/>
      <c r="Q38" s="88"/>
    </row>
    <row r="39" spans="1:17" s="61" customFormat="1" ht="12.75" hidden="1">
      <c r="A39" s="197">
        <v>3</v>
      </c>
      <c r="B39" s="201"/>
      <c r="C39" s="169" t="s">
        <v>179</v>
      </c>
      <c r="D39" s="174"/>
      <c r="E39" s="384"/>
      <c r="F39" s="388"/>
      <c r="G39" s="358"/>
      <c r="H39" s="367"/>
      <c r="I39" s="372"/>
      <c r="J39" s="384">
        <f>SUM(J40:J52)</f>
        <v>314753.4741</v>
      </c>
      <c r="K39" s="389">
        <f>SUM(K40:K52)</f>
        <v>314753.4741</v>
      </c>
      <c r="L39" s="375">
        <f>SUM(L40:L52)</f>
        <v>0</v>
      </c>
      <c r="M39" s="630"/>
      <c r="P39" s="88"/>
      <c r="Q39" s="88"/>
    </row>
    <row r="40" spans="1:17" s="98" customFormat="1" ht="56.25" hidden="1">
      <c r="A40" s="137" t="s">
        <v>24</v>
      </c>
      <c r="B40" s="200" t="s">
        <v>368</v>
      </c>
      <c r="C40" s="168" t="s">
        <v>238</v>
      </c>
      <c r="D40" s="173" t="s">
        <v>17</v>
      </c>
      <c r="E40" s="367">
        <v>2092.91</v>
      </c>
      <c r="F40" s="388">
        <f>' ÚLTIMA MEDIÇÃO - BM Nº5'!BR40</f>
        <v>2092.91</v>
      </c>
      <c r="G40" s="358">
        <f t="shared" si="0"/>
        <v>0</v>
      </c>
      <c r="H40" s="367">
        <f>'PLANILHA DA PROPOSTA'!F46</f>
        <v>2.99</v>
      </c>
      <c r="I40" s="372">
        <f>'PLANILHA DA PROPOSTA'!G46</f>
        <v>3.65</v>
      </c>
      <c r="J40" s="367">
        <f aca="true" t="shared" si="5" ref="J40:J51">E40*I40</f>
        <v>7639.121499999999</v>
      </c>
      <c r="K40" s="379">
        <f aca="true" t="shared" si="6" ref="K40:K51">F40*I40</f>
        <v>7639.121499999999</v>
      </c>
      <c r="L40" s="181">
        <f aca="true" t="shared" si="7" ref="L40:L51">G40*I40</f>
        <v>0</v>
      </c>
      <c r="M40" s="632"/>
      <c r="P40" s="88" t="e">
        <f>'MEMÓRIA DE CÁLCULO'!#REF!</f>
        <v>#REF!</v>
      </c>
      <c r="Q40" s="88" t="e">
        <f>E40-P40</f>
        <v>#REF!</v>
      </c>
    </row>
    <row r="41" spans="1:17" s="98" customFormat="1" ht="33.75" hidden="1">
      <c r="A41" s="137" t="s">
        <v>58</v>
      </c>
      <c r="B41" s="200" t="s">
        <v>368</v>
      </c>
      <c r="C41" s="168" t="s">
        <v>221</v>
      </c>
      <c r="D41" s="173" t="s">
        <v>12</v>
      </c>
      <c r="E41" s="367">
        <v>54.67</v>
      </c>
      <c r="F41" s="388">
        <f>' ÚLTIMA MEDIÇÃO - BM Nº5'!BR41</f>
        <v>54.67</v>
      </c>
      <c r="G41" s="358">
        <f t="shared" si="0"/>
        <v>0</v>
      </c>
      <c r="H41" s="367">
        <f>'PLANILHA DA PROPOSTA'!F47</f>
        <v>8.6</v>
      </c>
      <c r="I41" s="372">
        <f>'PLANILHA DA PROPOSTA'!G47</f>
        <v>10.5</v>
      </c>
      <c r="J41" s="367">
        <f t="shared" si="5"/>
        <v>574.035</v>
      </c>
      <c r="K41" s="379">
        <f t="shared" si="6"/>
        <v>574.035</v>
      </c>
      <c r="L41" s="181">
        <f t="shared" si="7"/>
        <v>0</v>
      </c>
      <c r="M41" s="632"/>
      <c r="P41" s="88" t="e">
        <f>'MEMÓRIA DE CÁLCULO'!#REF!</f>
        <v>#REF!</v>
      </c>
      <c r="Q41" s="88" t="e">
        <f>E41-P41</f>
        <v>#REF!</v>
      </c>
    </row>
    <row r="42" spans="1:17" s="4" customFormat="1" ht="33.75" hidden="1">
      <c r="A42" s="137" t="s">
        <v>27</v>
      </c>
      <c r="B42" s="200" t="s">
        <v>368</v>
      </c>
      <c r="C42" s="168" t="s">
        <v>186</v>
      </c>
      <c r="D42" s="173" t="s">
        <v>17</v>
      </c>
      <c r="E42" s="367">
        <v>2106.58</v>
      </c>
      <c r="F42" s="388">
        <f>' ÚLTIMA MEDIÇÃO - BM Nº5'!BR42</f>
        <v>2106.58</v>
      </c>
      <c r="G42" s="358">
        <f t="shared" si="0"/>
        <v>0</v>
      </c>
      <c r="H42" s="367">
        <f>'PLANILHA DA PROPOSTA'!F48</f>
        <v>0.85</v>
      </c>
      <c r="I42" s="372">
        <f>'PLANILHA DA PROPOSTA'!G48</f>
        <v>1.04</v>
      </c>
      <c r="J42" s="367">
        <f t="shared" si="5"/>
        <v>2190.8432</v>
      </c>
      <c r="K42" s="379">
        <f t="shared" si="6"/>
        <v>2190.8432</v>
      </c>
      <c r="L42" s="181">
        <f t="shared" si="7"/>
        <v>0</v>
      </c>
      <c r="M42" s="63"/>
      <c r="N42" s="63"/>
      <c r="O42" s="63"/>
      <c r="P42" s="88" t="e">
        <f>'MEMÓRIA DE CÁLCULO'!#REF!</f>
        <v>#REF!</v>
      </c>
      <c r="Q42" s="88" t="e">
        <f aca="true" t="shared" si="8" ref="Q42:Q51">E42-P42</f>
        <v>#REF!</v>
      </c>
    </row>
    <row r="43" spans="1:17" s="4" customFormat="1" ht="22.5" hidden="1">
      <c r="A43" s="137" t="s">
        <v>187</v>
      </c>
      <c r="B43" s="200" t="s">
        <v>368</v>
      </c>
      <c r="C43" s="168" t="s">
        <v>190</v>
      </c>
      <c r="D43" s="173" t="s">
        <v>180</v>
      </c>
      <c r="E43" s="367">
        <v>3159.87</v>
      </c>
      <c r="F43" s="388">
        <f>' ÚLTIMA MEDIÇÃO - BM Nº5'!BR43</f>
        <v>3159.87</v>
      </c>
      <c r="G43" s="358">
        <f t="shared" si="0"/>
        <v>0</v>
      </c>
      <c r="H43" s="367">
        <f>'PLANILHA DA PROPOSTA'!F49</f>
        <v>1.22</v>
      </c>
      <c r="I43" s="372">
        <f>'PLANILHA DA PROPOSTA'!G49</f>
        <v>1.49</v>
      </c>
      <c r="J43" s="367">
        <f t="shared" si="5"/>
        <v>4708.2063</v>
      </c>
      <c r="K43" s="379">
        <f t="shared" si="6"/>
        <v>4708.2063</v>
      </c>
      <c r="L43" s="181">
        <f t="shared" si="7"/>
        <v>0</v>
      </c>
      <c r="M43" s="63"/>
      <c r="N43" s="63"/>
      <c r="O43" s="63"/>
      <c r="P43" s="88" t="e">
        <f>'MEMÓRIA DE CÁLCULO'!#REF!</f>
        <v>#REF!</v>
      </c>
      <c r="Q43" s="88" t="e">
        <f t="shared" si="8"/>
        <v>#REF!</v>
      </c>
    </row>
    <row r="44" spans="1:19" s="4" customFormat="1" ht="22.5" hidden="1">
      <c r="A44" s="137" t="s">
        <v>188</v>
      </c>
      <c r="B44" s="200" t="s">
        <v>368</v>
      </c>
      <c r="C44" s="168" t="s">
        <v>51</v>
      </c>
      <c r="D44" s="173" t="s">
        <v>12</v>
      </c>
      <c r="E44" s="367">
        <v>8426.32</v>
      </c>
      <c r="F44" s="388">
        <f>' ÚLTIMA MEDIÇÃO - BM Nº5'!BR44</f>
        <v>8426.32</v>
      </c>
      <c r="G44" s="358">
        <f t="shared" si="0"/>
        <v>0</v>
      </c>
      <c r="H44" s="367">
        <f>'PLANILHA DA PROPOSTA'!F50</f>
        <v>1.07</v>
      </c>
      <c r="I44" s="372">
        <f>'PLANILHA DA PROPOSTA'!G50</f>
        <v>1.31</v>
      </c>
      <c r="J44" s="367">
        <f t="shared" si="5"/>
        <v>11038.4792</v>
      </c>
      <c r="K44" s="379">
        <f t="shared" si="6"/>
        <v>11038.4792</v>
      </c>
      <c r="L44" s="181">
        <f t="shared" si="7"/>
        <v>0</v>
      </c>
      <c r="M44" s="63"/>
      <c r="N44" s="63"/>
      <c r="O44" s="63"/>
      <c r="P44" s="88" t="e">
        <f>'MEMÓRIA DE CÁLCULO'!#REF!</f>
        <v>#REF!</v>
      </c>
      <c r="Q44" s="88" t="e">
        <f t="shared" si="8"/>
        <v>#REF!</v>
      </c>
      <c r="R44" s="192"/>
      <c r="S44" s="193"/>
    </row>
    <row r="45" spans="1:17" s="4" customFormat="1" ht="45" hidden="1">
      <c r="A45" s="137" t="s">
        <v>189</v>
      </c>
      <c r="B45" s="200" t="s">
        <v>368</v>
      </c>
      <c r="C45" s="168" t="s">
        <v>185</v>
      </c>
      <c r="D45" s="173" t="s">
        <v>17</v>
      </c>
      <c r="E45" s="367">
        <v>1685.26</v>
      </c>
      <c r="F45" s="388">
        <f>' ÚLTIMA MEDIÇÃO - BM Nº5'!BR45</f>
        <v>1685.26</v>
      </c>
      <c r="G45" s="358">
        <f t="shared" si="0"/>
        <v>0</v>
      </c>
      <c r="H45" s="367">
        <f>'PLANILHA DA PROPOSTA'!F51</f>
        <v>2.99</v>
      </c>
      <c r="I45" s="372">
        <f>'PLANILHA DA PROPOSTA'!G51</f>
        <v>3.65</v>
      </c>
      <c r="J45" s="367">
        <f t="shared" si="5"/>
        <v>6151.199</v>
      </c>
      <c r="K45" s="379">
        <f t="shared" si="6"/>
        <v>6151.199</v>
      </c>
      <c r="L45" s="181">
        <f t="shared" si="7"/>
        <v>0</v>
      </c>
      <c r="M45" s="63"/>
      <c r="N45" s="63"/>
      <c r="O45" s="63"/>
      <c r="P45" s="88" t="e">
        <f>'MEMÓRIA DE CÁLCULO'!#REF!</f>
        <v>#REF!</v>
      </c>
      <c r="Q45" s="88" t="e">
        <f t="shared" si="8"/>
        <v>#REF!</v>
      </c>
    </row>
    <row r="46" spans="1:17" s="4" customFormat="1" ht="22.5" hidden="1">
      <c r="A46" s="137" t="s">
        <v>191</v>
      </c>
      <c r="B46" s="200" t="s">
        <v>368</v>
      </c>
      <c r="C46" s="168" t="s">
        <v>199</v>
      </c>
      <c r="D46" s="173" t="s">
        <v>181</v>
      </c>
      <c r="E46" s="367">
        <v>10516.05</v>
      </c>
      <c r="F46" s="388">
        <f>' ÚLTIMA MEDIÇÃO - BM Nº5'!BR46</f>
        <v>10516.05</v>
      </c>
      <c r="G46" s="358">
        <f t="shared" si="0"/>
        <v>0</v>
      </c>
      <c r="H46" s="367">
        <f>'PLANILHA DA PROPOSTA'!F52</f>
        <v>0.81</v>
      </c>
      <c r="I46" s="372">
        <f>'PLANILHA DA PROPOSTA'!G52</f>
        <v>0.99</v>
      </c>
      <c r="J46" s="367">
        <f t="shared" si="5"/>
        <v>10410.8895</v>
      </c>
      <c r="K46" s="379">
        <f t="shared" si="6"/>
        <v>10410.8895</v>
      </c>
      <c r="L46" s="181">
        <f t="shared" si="7"/>
        <v>0</v>
      </c>
      <c r="M46" s="63"/>
      <c r="N46" s="63"/>
      <c r="O46" s="63"/>
      <c r="P46" s="88" t="e">
        <f>'MEMÓRIA DE CÁLCULO'!#REF!</f>
        <v>#REF!</v>
      </c>
      <c r="Q46" s="88" t="e">
        <f t="shared" si="8"/>
        <v>#REF!</v>
      </c>
    </row>
    <row r="47" spans="1:17" s="4" customFormat="1" ht="33.75" hidden="1">
      <c r="A47" s="137" t="s">
        <v>192</v>
      </c>
      <c r="B47" s="200" t="s">
        <v>368</v>
      </c>
      <c r="C47" s="168" t="s">
        <v>237</v>
      </c>
      <c r="D47" s="173" t="s">
        <v>17</v>
      </c>
      <c r="E47" s="367">
        <v>1685.26</v>
      </c>
      <c r="F47" s="388">
        <f>' ÚLTIMA MEDIÇÃO - BM Nº5'!BR47</f>
        <v>1685.26</v>
      </c>
      <c r="G47" s="358">
        <f t="shared" si="0"/>
        <v>0</v>
      </c>
      <c r="H47" s="367">
        <f>'PLANILHA DA PROPOSTA'!F53</f>
        <v>8.25</v>
      </c>
      <c r="I47" s="372">
        <f>'PLANILHA DA PROPOSTA'!G53</f>
        <v>10.07</v>
      </c>
      <c r="J47" s="367">
        <f t="shared" si="5"/>
        <v>16970.5682</v>
      </c>
      <c r="K47" s="379">
        <f t="shared" si="6"/>
        <v>16970.5682</v>
      </c>
      <c r="L47" s="181">
        <f t="shared" si="7"/>
        <v>0</v>
      </c>
      <c r="M47" s="63"/>
      <c r="N47" s="63"/>
      <c r="O47" s="63"/>
      <c r="P47" s="88" t="e">
        <f>'MEMÓRIA DE CÁLCULO'!#REF!</f>
        <v>#REF!</v>
      </c>
      <c r="Q47" s="88" t="e">
        <f t="shared" si="8"/>
        <v>#REF!</v>
      </c>
    </row>
    <row r="48" spans="1:18" s="4" customFormat="1" ht="22.5" hidden="1">
      <c r="A48" s="137" t="s">
        <v>193</v>
      </c>
      <c r="B48" s="200" t="s">
        <v>368</v>
      </c>
      <c r="C48" s="168" t="s">
        <v>236</v>
      </c>
      <c r="D48" s="173" t="s">
        <v>181</v>
      </c>
      <c r="E48" s="367">
        <v>700.93</v>
      </c>
      <c r="F48" s="388">
        <f>' ÚLTIMA MEDIÇÃO - BM Nº5'!BR48</f>
        <v>700.93</v>
      </c>
      <c r="G48" s="358">
        <f t="shared" si="0"/>
        <v>0</v>
      </c>
      <c r="H48" s="367">
        <f>'PLANILHA DA PROPOSTA'!F54</f>
        <v>0.55</v>
      </c>
      <c r="I48" s="372">
        <f>'PLANILHA DA PROPOSTA'!G54</f>
        <v>0.67</v>
      </c>
      <c r="J48" s="367">
        <f t="shared" si="5"/>
        <v>469.6231</v>
      </c>
      <c r="K48" s="379">
        <f t="shared" si="6"/>
        <v>469.6231</v>
      </c>
      <c r="L48" s="181">
        <f t="shared" si="7"/>
        <v>0</v>
      </c>
      <c r="M48" s="63"/>
      <c r="N48" s="63"/>
      <c r="O48" s="63"/>
      <c r="P48" s="88" t="e">
        <f>'MEMÓRIA DE CÁLCULO'!#REF!</f>
        <v>#REF!</v>
      </c>
      <c r="Q48" s="88" t="e">
        <f t="shared" si="8"/>
        <v>#REF!</v>
      </c>
      <c r="R48" s="194"/>
    </row>
    <row r="49" spans="1:18" s="4" customFormat="1" ht="22.5" hidden="1">
      <c r="A49" s="137" t="s">
        <v>194</v>
      </c>
      <c r="B49" s="200" t="s">
        <v>368</v>
      </c>
      <c r="C49" s="168" t="s">
        <v>197</v>
      </c>
      <c r="D49" s="173" t="s">
        <v>12</v>
      </c>
      <c r="E49" s="367">
        <v>8090.12</v>
      </c>
      <c r="F49" s="388">
        <f>' ÚLTIMA MEDIÇÃO - BM Nº5'!BR49</f>
        <v>8090.12</v>
      </c>
      <c r="G49" s="358">
        <f t="shared" si="0"/>
        <v>0</v>
      </c>
      <c r="H49" s="367">
        <f>'PLANILHA DA PROPOSTA'!F55</f>
        <v>4.16</v>
      </c>
      <c r="I49" s="372">
        <f>'PLANILHA DA PROPOSTA'!G55</f>
        <v>5.08</v>
      </c>
      <c r="J49" s="367">
        <f t="shared" si="5"/>
        <v>41097.8096</v>
      </c>
      <c r="K49" s="379">
        <f t="shared" si="6"/>
        <v>41097.8096</v>
      </c>
      <c r="L49" s="181">
        <f t="shared" si="7"/>
        <v>0</v>
      </c>
      <c r="M49" s="63"/>
      <c r="N49" s="63"/>
      <c r="O49" s="63"/>
      <c r="P49" s="88" t="e">
        <f>'MEMÓRIA DE CÁLCULO'!#REF!</f>
        <v>#REF!</v>
      </c>
      <c r="Q49" s="88" t="e">
        <f t="shared" si="8"/>
        <v>#REF!</v>
      </c>
      <c r="R49" s="194"/>
    </row>
    <row r="50" spans="1:18" s="4" customFormat="1" ht="22.5" hidden="1">
      <c r="A50" s="137" t="s">
        <v>195</v>
      </c>
      <c r="B50" s="200" t="s">
        <v>368</v>
      </c>
      <c r="C50" s="168" t="s">
        <v>250</v>
      </c>
      <c r="D50" s="173" t="s">
        <v>181</v>
      </c>
      <c r="E50" s="367">
        <v>56074.25</v>
      </c>
      <c r="F50" s="388">
        <f>' ÚLTIMA MEDIÇÃO - BM Nº5'!BR50</f>
        <v>56074.25</v>
      </c>
      <c r="G50" s="358">
        <f t="shared" si="0"/>
        <v>0</v>
      </c>
      <c r="H50" s="367">
        <f>'PLANILHA DA PROPOSTA'!F56</f>
        <v>0.42</v>
      </c>
      <c r="I50" s="372">
        <f>'PLANILHA DA PROPOSTA'!G56</f>
        <v>0.51</v>
      </c>
      <c r="J50" s="367">
        <f t="shared" si="5"/>
        <v>28597.8675</v>
      </c>
      <c r="K50" s="379">
        <f t="shared" si="6"/>
        <v>28597.8675</v>
      </c>
      <c r="L50" s="181">
        <f t="shared" si="7"/>
        <v>0</v>
      </c>
      <c r="M50" s="63"/>
      <c r="N50" s="63"/>
      <c r="O50" s="63"/>
      <c r="P50" s="88">
        <f>'MEMÓRIA DE CÁLCULO'!I1</f>
        <v>0</v>
      </c>
      <c r="Q50" s="88">
        <f t="shared" si="8"/>
        <v>56074.25</v>
      </c>
      <c r="R50" s="194"/>
    </row>
    <row r="51" spans="1:18" s="4" customFormat="1" ht="33.75" hidden="1">
      <c r="A51" s="137" t="s">
        <v>196</v>
      </c>
      <c r="B51" s="200" t="s">
        <v>368</v>
      </c>
      <c r="C51" s="168" t="s">
        <v>251</v>
      </c>
      <c r="D51" s="173" t="s">
        <v>198</v>
      </c>
      <c r="E51" s="367">
        <v>776.65</v>
      </c>
      <c r="F51" s="388">
        <f>' ÚLTIMA MEDIÇÃO - BM Nº5'!BR51</f>
        <v>776.65</v>
      </c>
      <c r="G51" s="358">
        <f t="shared" si="0"/>
        <v>0</v>
      </c>
      <c r="H51" s="367">
        <f>'PLANILHA DA PROPOSTA'!F57</f>
        <v>195.08</v>
      </c>
      <c r="I51" s="372">
        <f>'PLANILHA DA PROPOSTA'!G57</f>
        <v>238.08</v>
      </c>
      <c r="J51" s="367">
        <f t="shared" si="5"/>
        <v>184904.832</v>
      </c>
      <c r="K51" s="379">
        <f t="shared" si="6"/>
        <v>184904.832</v>
      </c>
      <c r="L51" s="181">
        <f t="shared" si="7"/>
        <v>0</v>
      </c>
      <c r="M51" s="280">
        <f>L39/E49</f>
        <v>0</v>
      </c>
      <c r="N51" s="281" t="s">
        <v>213</v>
      </c>
      <c r="O51" s="281"/>
      <c r="P51" s="88">
        <f>'MEMÓRIA DE CÁLCULO'!I2</f>
        <v>0</v>
      </c>
      <c r="Q51" s="88">
        <f t="shared" si="8"/>
        <v>776.65</v>
      </c>
      <c r="R51" s="194"/>
    </row>
    <row r="52" spans="1:18" s="4" customFormat="1" ht="12.75" hidden="1">
      <c r="A52" s="137"/>
      <c r="B52" s="164"/>
      <c r="C52" s="168"/>
      <c r="D52" s="173"/>
      <c r="E52" s="367"/>
      <c r="F52" s="388"/>
      <c r="G52" s="358"/>
      <c r="H52" s="367"/>
      <c r="I52" s="372"/>
      <c r="J52" s="367"/>
      <c r="K52" s="379"/>
      <c r="L52" s="181"/>
      <c r="M52" s="63"/>
      <c r="P52" s="88"/>
      <c r="Q52" s="88"/>
      <c r="R52" s="194"/>
    </row>
    <row r="53" spans="1:18" s="61" customFormat="1" ht="12.75" hidden="1">
      <c r="A53" s="197">
        <v>4</v>
      </c>
      <c r="B53" s="201"/>
      <c r="C53" s="169" t="s">
        <v>31</v>
      </c>
      <c r="D53" s="174"/>
      <c r="E53" s="384"/>
      <c r="F53" s="388"/>
      <c r="G53" s="358"/>
      <c r="H53" s="367"/>
      <c r="I53" s="372"/>
      <c r="J53" s="384">
        <f>SUM(J54:J57)</f>
        <v>51425.132300000005</v>
      </c>
      <c r="K53" s="389">
        <f>SUM(K54:K57)</f>
        <v>23330.222746</v>
      </c>
      <c r="L53" s="375">
        <f>SUM(L54:L57)</f>
        <v>28094.909554</v>
      </c>
      <c r="M53" s="630"/>
      <c r="P53" s="88"/>
      <c r="Q53" s="88"/>
      <c r="R53" s="64"/>
    </row>
    <row r="54" spans="1:18" s="4" customFormat="1" ht="22.5" hidden="1">
      <c r="A54" s="137" t="s">
        <v>25</v>
      </c>
      <c r="B54" s="200" t="s">
        <v>368</v>
      </c>
      <c r="C54" s="168" t="s">
        <v>53</v>
      </c>
      <c r="D54" s="173" t="s">
        <v>17</v>
      </c>
      <c r="E54" s="367">
        <v>101.51</v>
      </c>
      <c r="F54" s="388">
        <f>' ÚLTIMA MEDIÇÃO - BM Nº5'!BR54</f>
        <v>47.7097</v>
      </c>
      <c r="G54" s="358">
        <f t="shared" si="0"/>
        <v>53.80030000000001</v>
      </c>
      <c r="H54" s="367">
        <f>'PLANILHA DA PROPOSTA'!F60</f>
        <v>87.84</v>
      </c>
      <c r="I54" s="372">
        <f>'PLANILHA DA PROPOSTA'!G60</f>
        <v>107.2</v>
      </c>
      <c r="J54" s="367">
        <f>E54*I54</f>
        <v>10881.872000000001</v>
      </c>
      <c r="K54" s="379">
        <f>F54*I54</f>
        <v>5114.47984</v>
      </c>
      <c r="L54" s="181">
        <f>G54*I54</f>
        <v>5767.392160000001</v>
      </c>
      <c r="M54" s="63"/>
      <c r="P54" s="88">
        <f>'MEMÓRIA DE CÁLCULO'!I71</f>
        <v>0</v>
      </c>
      <c r="Q54" s="88">
        <f>E54-P54</f>
        <v>101.51</v>
      </c>
      <c r="R54" s="64"/>
    </row>
    <row r="55" spans="1:18" s="4" customFormat="1" ht="33.75" hidden="1">
      <c r="A55" s="137" t="s">
        <v>59</v>
      </c>
      <c r="B55" s="200" t="s">
        <v>368</v>
      </c>
      <c r="C55" s="168" t="s">
        <v>79</v>
      </c>
      <c r="D55" s="173" t="s">
        <v>12</v>
      </c>
      <c r="E55" s="367">
        <v>676.74</v>
      </c>
      <c r="F55" s="388">
        <f>' ÚLTIMA MEDIÇÃO - BM Nº5'!BR55</f>
        <v>318.0678</v>
      </c>
      <c r="G55" s="358">
        <f t="shared" si="0"/>
        <v>358.67220000000003</v>
      </c>
      <c r="H55" s="367">
        <f>'PLANILHA DA PROPOSTA'!F61</f>
        <v>46.93</v>
      </c>
      <c r="I55" s="372">
        <f>'PLANILHA DA PROPOSTA'!G61</f>
        <v>57.27</v>
      </c>
      <c r="J55" s="367">
        <f>E55*I55</f>
        <v>38756.8998</v>
      </c>
      <c r="K55" s="379">
        <f>F55*I55</f>
        <v>18215.742906</v>
      </c>
      <c r="L55" s="181">
        <f>G55*I55</f>
        <v>20541.156894000003</v>
      </c>
      <c r="M55" s="63"/>
      <c r="P55" s="88">
        <f>'MEMÓRIA DE CÁLCULO'!I72</f>
        <v>105.6</v>
      </c>
      <c r="Q55" s="88">
        <f>E55-P55</f>
        <v>571.14</v>
      </c>
      <c r="R55" s="64"/>
    </row>
    <row r="56" spans="1:18" s="4" customFormat="1" ht="51" customHeight="1" hidden="1">
      <c r="A56" s="137" t="s">
        <v>159</v>
      </c>
      <c r="B56" s="200" t="s">
        <v>368</v>
      </c>
      <c r="C56" s="168" t="str">
        <f>'PLANILHA DA PROPOSTA'!C62</f>
        <v>Piso de alerta em placas marmorizadas vibro-prensadas, Tecnogran ou similar, com acabamento rustico, na cor cinza, inclusive contrapiso com espessura de 3cm. Fornecimento e colocacao.</v>
      </c>
      <c r="D56" s="173" t="s">
        <v>12</v>
      </c>
      <c r="E56" s="367">
        <v>11.71</v>
      </c>
      <c r="F56" s="388">
        <f>' ÚLTIMA MEDIÇÃO - BM Nº5'!BR56</f>
        <v>0</v>
      </c>
      <c r="G56" s="358">
        <f t="shared" si="0"/>
        <v>11.71</v>
      </c>
      <c r="H56" s="367">
        <f>'PLANILHA DA PROPOSTA'!F62</f>
        <v>125</v>
      </c>
      <c r="I56" s="372">
        <f>'PLANILHA DA PROPOSTA'!G62</f>
        <v>152.55</v>
      </c>
      <c r="J56" s="367">
        <f>E56*I56</f>
        <v>1786.3605000000002</v>
      </c>
      <c r="K56" s="379">
        <f>F56*I56</f>
        <v>0</v>
      </c>
      <c r="L56" s="181">
        <f>G56*I56</f>
        <v>1786.3605000000002</v>
      </c>
      <c r="M56" s="63"/>
      <c r="P56" s="88">
        <f>'MEMÓRIA DE CÁLCULO'!I73</f>
        <v>0</v>
      </c>
      <c r="Q56" s="88">
        <f>E56-P56</f>
        <v>11.71</v>
      </c>
      <c r="R56" s="64"/>
    </row>
    <row r="57" spans="1:17" s="4" customFormat="1" ht="12.75" hidden="1">
      <c r="A57" s="137"/>
      <c r="B57" s="164"/>
      <c r="C57" s="168"/>
      <c r="D57" s="173"/>
      <c r="E57" s="367"/>
      <c r="F57" s="388"/>
      <c r="G57" s="358"/>
      <c r="H57" s="367"/>
      <c r="I57" s="372"/>
      <c r="J57" s="367"/>
      <c r="K57" s="379"/>
      <c r="L57" s="181"/>
      <c r="M57" s="63"/>
      <c r="P57" s="88"/>
      <c r="Q57" s="88"/>
    </row>
    <row r="58" spans="1:18" s="61" customFormat="1" ht="12.75" hidden="1">
      <c r="A58" s="197">
        <v>5</v>
      </c>
      <c r="B58" s="201"/>
      <c r="C58" s="169" t="s">
        <v>67</v>
      </c>
      <c r="D58" s="174"/>
      <c r="E58" s="384"/>
      <c r="F58" s="388"/>
      <c r="G58" s="358"/>
      <c r="H58" s="367"/>
      <c r="I58" s="372"/>
      <c r="J58" s="384">
        <f>SUM(J59:J65)</f>
        <v>7441.1016</v>
      </c>
      <c r="K58" s="389">
        <f>SUM(K59:K65)</f>
        <v>0</v>
      </c>
      <c r="L58" s="375">
        <f>SUM(L59:L65)</f>
        <v>7441.1016</v>
      </c>
      <c r="M58" s="630"/>
      <c r="P58" s="88"/>
      <c r="Q58" s="88"/>
      <c r="R58" s="64"/>
    </row>
    <row r="59" spans="1:18" s="4" customFormat="1" ht="22.5" hidden="1">
      <c r="A59" s="137" t="s">
        <v>32</v>
      </c>
      <c r="B59" s="200" t="s">
        <v>368</v>
      </c>
      <c r="C59" s="168" t="s">
        <v>70</v>
      </c>
      <c r="D59" s="173" t="s">
        <v>12</v>
      </c>
      <c r="E59" s="367">
        <v>105.6</v>
      </c>
      <c r="F59" s="388">
        <f>' ÚLTIMA MEDIÇÃO - BM Nº5'!BR59</f>
        <v>0</v>
      </c>
      <c r="G59" s="358">
        <f t="shared" si="0"/>
        <v>105.6</v>
      </c>
      <c r="H59" s="367">
        <f>'PLANILHA DA PROPOSTA'!F65</f>
        <v>26.29</v>
      </c>
      <c r="I59" s="372">
        <f>'PLANILHA DA PROPOSTA'!G65</f>
        <v>32.08</v>
      </c>
      <c r="J59" s="367">
        <f aca="true" t="shared" si="9" ref="J59:J64">E59*I59</f>
        <v>3387.6479999999997</v>
      </c>
      <c r="K59" s="379">
        <f aca="true" t="shared" si="10" ref="K59:K64">F59*I59</f>
        <v>0</v>
      </c>
      <c r="L59" s="181">
        <f aca="true" t="shared" si="11" ref="L59:L64">G59*I59</f>
        <v>3387.6479999999997</v>
      </c>
      <c r="M59" s="63"/>
      <c r="P59" s="88">
        <f>'MEMÓRIA DE CÁLCULO'!I76</f>
        <v>17</v>
      </c>
      <c r="Q59" s="88">
        <f aca="true" t="shared" si="12" ref="Q59:Q64">E59-P59</f>
        <v>88.6</v>
      </c>
      <c r="R59" s="64"/>
    </row>
    <row r="60" spans="1:18" s="4" customFormat="1" ht="22.5" hidden="1">
      <c r="A60" s="137" t="s">
        <v>76</v>
      </c>
      <c r="B60" s="200" t="s">
        <v>368</v>
      </c>
      <c r="C60" s="168" t="s">
        <v>127</v>
      </c>
      <c r="D60" s="173" t="s">
        <v>12</v>
      </c>
      <c r="E60" s="367">
        <v>6.84</v>
      </c>
      <c r="F60" s="388">
        <f>' ÚLTIMA MEDIÇÃO - BM Nº5'!BR60</f>
        <v>0</v>
      </c>
      <c r="G60" s="358">
        <f t="shared" si="0"/>
        <v>6.84</v>
      </c>
      <c r="H60" s="367">
        <f>'PLANILHA DA PROPOSTA'!F66</f>
        <v>26.29</v>
      </c>
      <c r="I60" s="372">
        <f>'PLANILHA DA PROPOSTA'!G66</f>
        <v>32.08</v>
      </c>
      <c r="J60" s="367">
        <f t="shared" si="9"/>
        <v>219.42719999999997</v>
      </c>
      <c r="K60" s="379">
        <f t="shared" si="10"/>
        <v>0</v>
      </c>
      <c r="L60" s="181">
        <f t="shared" si="11"/>
        <v>219.42719999999997</v>
      </c>
      <c r="M60" s="63"/>
      <c r="P60" s="88" t="e">
        <f>'MEMÓRIA DE CÁLCULO'!#REF!</f>
        <v>#REF!</v>
      </c>
      <c r="Q60" s="88" t="e">
        <f t="shared" si="12"/>
        <v>#REF!</v>
      </c>
      <c r="R60" s="64"/>
    </row>
    <row r="61" spans="1:18" s="4" customFormat="1" ht="22.5" hidden="1">
      <c r="A61" s="137" t="s">
        <v>77</v>
      </c>
      <c r="B61" s="200" t="s">
        <v>368</v>
      </c>
      <c r="C61" s="168" t="s">
        <v>72</v>
      </c>
      <c r="D61" s="173" t="s">
        <v>12</v>
      </c>
      <c r="E61" s="367">
        <v>6.48</v>
      </c>
      <c r="F61" s="388">
        <f>' ÚLTIMA MEDIÇÃO - BM Nº5'!BR61</f>
        <v>0</v>
      </c>
      <c r="G61" s="358">
        <f t="shared" si="0"/>
        <v>6.48</v>
      </c>
      <c r="H61" s="367">
        <f>'PLANILHA DA PROPOSTA'!F67</f>
        <v>223.48</v>
      </c>
      <c r="I61" s="372">
        <f>'PLANILHA DA PROPOSTA'!G67</f>
        <v>272.73</v>
      </c>
      <c r="J61" s="367">
        <f t="shared" si="9"/>
        <v>1767.2904000000003</v>
      </c>
      <c r="K61" s="379">
        <f t="shared" si="10"/>
        <v>0</v>
      </c>
      <c r="L61" s="181">
        <f t="shared" si="11"/>
        <v>1767.2904000000003</v>
      </c>
      <c r="M61" s="63"/>
      <c r="P61" s="88">
        <f>'MEMÓRIA DE CÁLCULO'!I79</f>
        <v>3</v>
      </c>
      <c r="Q61" s="88">
        <f t="shared" si="12"/>
        <v>3.4800000000000004</v>
      </c>
      <c r="R61" s="64"/>
    </row>
    <row r="62" spans="1:18" s="4" customFormat="1" ht="22.5" hidden="1">
      <c r="A62" s="137" t="s">
        <v>78</v>
      </c>
      <c r="B62" s="200" t="s">
        <v>368</v>
      </c>
      <c r="C62" s="168" t="s">
        <v>132</v>
      </c>
      <c r="D62" s="173" t="s">
        <v>26</v>
      </c>
      <c r="E62" s="367">
        <v>21</v>
      </c>
      <c r="F62" s="388">
        <f>' ÚLTIMA MEDIÇÃO - BM Nº5'!BR62</f>
        <v>0</v>
      </c>
      <c r="G62" s="358">
        <f t="shared" si="0"/>
        <v>21</v>
      </c>
      <c r="H62" s="367">
        <f>'PLANILHA DA PROPOSTA'!F68</f>
        <v>63.87</v>
      </c>
      <c r="I62" s="372">
        <f>'PLANILHA DA PROPOSTA'!G68</f>
        <v>77.95</v>
      </c>
      <c r="J62" s="367">
        <f t="shared" si="9"/>
        <v>1636.95</v>
      </c>
      <c r="K62" s="379">
        <f t="shared" si="10"/>
        <v>0</v>
      </c>
      <c r="L62" s="181">
        <f t="shared" si="11"/>
        <v>1636.95</v>
      </c>
      <c r="M62" s="63"/>
      <c r="P62" s="88">
        <f>'MEMÓRIA DE CÁLCULO'!I80</f>
        <v>0</v>
      </c>
      <c r="Q62" s="88">
        <f t="shared" si="12"/>
        <v>21</v>
      </c>
      <c r="R62" s="64"/>
    </row>
    <row r="63" spans="1:18" s="4" customFormat="1" ht="12.75" hidden="1">
      <c r="A63" s="137" t="s">
        <v>128</v>
      </c>
      <c r="B63" s="200" t="s">
        <v>368</v>
      </c>
      <c r="C63" s="168" t="s">
        <v>73</v>
      </c>
      <c r="D63" s="173" t="s">
        <v>12</v>
      </c>
      <c r="E63" s="367">
        <v>10.8</v>
      </c>
      <c r="F63" s="388">
        <f>' ÚLTIMA MEDIÇÃO - BM Nº5'!BR63</f>
        <v>0</v>
      </c>
      <c r="G63" s="358">
        <f t="shared" si="0"/>
        <v>10.8</v>
      </c>
      <c r="H63" s="367">
        <f>'PLANILHA DA PROPOSTA'!F69</f>
        <v>9.6</v>
      </c>
      <c r="I63" s="372">
        <f>'PLANILHA DA PROPOSTA'!G69</f>
        <v>11.72</v>
      </c>
      <c r="J63" s="367">
        <f t="shared" si="9"/>
        <v>126.57600000000002</v>
      </c>
      <c r="K63" s="379">
        <f t="shared" si="10"/>
        <v>0</v>
      </c>
      <c r="L63" s="181">
        <f t="shared" si="11"/>
        <v>126.57600000000002</v>
      </c>
      <c r="M63" s="63"/>
      <c r="P63" s="88">
        <f>'MEMÓRIA DE CÁLCULO'!I81</f>
        <v>0</v>
      </c>
      <c r="Q63" s="88">
        <f t="shared" si="12"/>
        <v>10.8</v>
      </c>
      <c r="R63" s="64"/>
    </row>
    <row r="64" spans="1:18" s="4" customFormat="1" ht="22.5" hidden="1">
      <c r="A64" s="137" t="s">
        <v>129</v>
      </c>
      <c r="B64" s="200" t="s">
        <v>368</v>
      </c>
      <c r="C64" s="168" t="s">
        <v>75</v>
      </c>
      <c r="D64" s="173" t="s">
        <v>26</v>
      </c>
      <c r="E64" s="367">
        <v>3</v>
      </c>
      <c r="F64" s="388">
        <f>' ÚLTIMA MEDIÇÃO - BM Nº5'!BR64</f>
        <v>0</v>
      </c>
      <c r="G64" s="358">
        <f t="shared" si="0"/>
        <v>3</v>
      </c>
      <c r="H64" s="367">
        <f>'PLANILHA DA PROPOSTA'!F70</f>
        <v>82.82</v>
      </c>
      <c r="I64" s="372">
        <f>'PLANILHA DA PROPOSTA'!G70</f>
        <v>101.07</v>
      </c>
      <c r="J64" s="367">
        <f t="shared" si="9"/>
        <v>303.21</v>
      </c>
      <c r="K64" s="379">
        <f t="shared" si="10"/>
        <v>0</v>
      </c>
      <c r="L64" s="181">
        <f t="shared" si="11"/>
        <v>303.21</v>
      </c>
      <c r="M64" s="63"/>
      <c r="P64" s="88">
        <f>'MEMÓRIA DE CÁLCULO'!I82</f>
        <v>1.08</v>
      </c>
      <c r="Q64" s="88">
        <f t="shared" si="12"/>
        <v>1.92</v>
      </c>
      <c r="R64" s="64"/>
    </row>
    <row r="65" spans="1:18" s="89" customFormat="1" ht="12.75" hidden="1">
      <c r="A65" s="139"/>
      <c r="B65" s="202"/>
      <c r="C65" s="170"/>
      <c r="D65" s="175"/>
      <c r="E65" s="385"/>
      <c r="F65" s="388"/>
      <c r="G65" s="358"/>
      <c r="H65" s="367"/>
      <c r="I65" s="372"/>
      <c r="J65" s="367"/>
      <c r="K65" s="379"/>
      <c r="L65" s="181"/>
      <c r="M65" s="633"/>
      <c r="P65" s="88"/>
      <c r="Q65" s="88"/>
      <c r="R65" s="90"/>
    </row>
    <row r="66" spans="1:17" s="61" customFormat="1" ht="12.75" hidden="1">
      <c r="A66" s="197">
        <v>6</v>
      </c>
      <c r="B66" s="201"/>
      <c r="C66" s="169" t="s">
        <v>214</v>
      </c>
      <c r="D66" s="174"/>
      <c r="E66" s="384"/>
      <c r="F66" s="388"/>
      <c r="G66" s="358"/>
      <c r="H66" s="367"/>
      <c r="I66" s="372"/>
      <c r="J66" s="384">
        <f>SUM(J67:J73)</f>
        <v>1515.1428</v>
      </c>
      <c r="K66" s="389">
        <f>SUM(K67:K73)</f>
        <v>589.5828000000001</v>
      </c>
      <c r="L66" s="375">
        <f>SUM(L67:L73)</f>
        <v>925.56</v>
      </c>
      <c r="M66" s="630"/>
      <c r="P66" s="88"/>
      <c r="Q66" s="88"/>
    </row>
    <row r="67" spans="1:17" s="98" customFormat="1" ht="22.5" hidden="1">
      <c r="A67" s="137" t="s">
        <v>68</v>
      </c>
      <c r="B67" s="200" t="s">
        <v>368</v>
      </c>
      <c r="C67" s="168" t="s">
        <v>222</v>
      </c>
      <c r="D67" s="173" t="s">
        <v>17</v>
      </c>
      <c r="E67" s="367">
        <v>1.08</v>
      </c>
      <c r="F67" s="388">
        <f>' ÚLTIMA MEDIÇÃO - BM Nº5'!BR67</f>
        <v>1.08</v>
      </c>
      <c r="G67" s="358">
        <f t="shared" si="0"/>
        <v>0</v>
      </c>
      <c r="H67" s="367">
        <f>'PLANILHA DA PROPOSTA'!F73</f>
        <v>28.18</v>
      </c>
      <c r="I67" s="372">
        <f>'PLANILHA DA PROPOSTA'!G73</f>
        <v>34.39</v>
      </c>
      <c r="J67" s="367">
        <f aca="true" t="shared" si="13" ref="J67:J72">E67*I67</f>
        <v>37.141200000000005</v>
      </c>
      <c r="K67" s="379">
        <f aca="true" t="shared" si="14" ref="K67:K72">F67*I67</f>
        <v>37.141200000000005</v>
      </c>
      <c r="L67" s="181">
        <f aca="true" t="shared" si="15" ref="L67:L72">G67*I67</f>
        <v>0</v>
      </c>
      <c r="M67" s="632"/>
      <c r="P67" s="88">
        <f>'MEMÓRIA DE CÁLCULO'!I85</f>
        <v>4.32</v>
      </c>
      <c r="Q67" s="88">
        <f aca="true" t="shared" si="16" ref="Q67:Q72">E67-P67</f>
        <v>-3.24</v>
      </c>
    </row>
    <row r="68" spans="1:17" s="98" customFormat="1" ht="56.25" hidden="1">
      <c r="A68" s="137" t="s">
        <v>215</v>
      </c>
      <c r="B68" s="200" t="s">
        <v>368</v>
      </c>
      <c r="C68" s="168" t="s">
        <v>223</v>
      </c>
      <c r="D68" s="173" t="s">
        <v>17</v>
      </c>
      <c r="E68" s="367">
        <v>8.64</v>
      </c>
      <c r="F68" s="388">
        <f>' ÚLTIMA MEDIÇÃO - BM Nº5'!BR68</f>
        <v>8.64</v>
      </c>
      <c r="G68" s="358">
        <f t="shared" si="0"/>
        <v>0</v>
      </c>
      <c r="H68" s="367">
        <f>'PLANILHA DA PROPOSTA'!F74</f>
        <v>11.35</v>
      </c>
      <c r="I68" s="372">
        <f>'PLANILHA DA PROPOSTA'!G74</f>
        <v>13.85</v>
      </c>
      <c r="J68" s="367">
        <f t="shared" si="13"/>
        <v>119.664</v>
      </c>
      <c r="K68" s="379">
        <f t="shared" si="14"/>
        <v>119.664</v>
      </c>
      <c r="L68" s="181">
        <f t="shared" si="15"/>
        <v>0</v>
      </c>
      <c r="M68" s="632"/>
      <c r="P68" s="88">
        <f>'MEMÓRIA DE CÁLCULO'!I86</f>
        <v>4.32</v>
      </c>
      <c r="Q68" s="88">
        <f t="shared" si="16"/>
        <v>4.32</v>
      </c>
    </row>
    <row r="69" spans="1:17" s="98" customFormat="1" ht="56.25" hidden="1">
      <c r="A69" s="137" t="s">
        <v>216</v>
      </c>
      <c r="B69" s="200" t="s">
        <v>368</v>
      </c>
      <c r="C69" s="168" t="s">
        <v>224</v>
      </c>
      <c r="D69" s="173" t="s">
        <v>12</v>
      </c>
      <c r="E69" s="367">
        <v>4.32</v>
      </c>
      <c r="F69" s="388">
        <f>' ÚLTIMA MEDIÇÃO - BM Nº5'!BR69</f>
        <v>0</v>
      </c>
      <c r="G69" s="358">
        <f t="shared" si="0"/>
        <v>4.32</v>
      </c>
      <c r="H69" s="367">
        <f>'PLANILHA DA PROPOSTA'!F75</f>
        <v>59.15</v>
      </c>
      <c r="I69" s="372">
        <f>'PLANILHA DA PROPOSTA'!G75</f>
        <v>72.19</v>
      </c>
      <c r="J69" s="367">
        <f t="shared" si="13"/>
        <v>311.8608</v>
      </c>
      <c r="K69" s="379">
        <f t="shared" si="14"/>
        <v>0</v>
      </c>
      <c r="L69" s="181">
        <f t="shared" si="15"/>
        <v>311.8608</v>
      </c>
      <c r="M69" s="632"/>
      <c r="P69" s="88">
        <f>'MEMÓRIA DE CÁLCULO'!I87</f>
        <v>8.64</v>
      </c>
      <c r="Q69" s="88">
        <f t="shared" si="16"/>
        <v>-4.32</v>
      </c>
    </row>
    <row r="70" spans="1:17" s="98" customFormat="1" ht="45" hidden="1">
      <c r="A70" s="137" t="s">
        <v>217</v>
      </c>
      <c r="B70" s="200" t="s">
        <v>368</v>
      </c>
      <c r="C70" s="168" t="s">
        <v>225</v>
      </c>
      <c r="D70" s="173" t="s">
        <v>12</v>
      </c>
      <c r="E70" s="367">
        <v>4.32</v>
      </c>
      <c r="F70" s="388">
        <f>' ÚLTIMA MEDIÇÃO - BM Nº5'!BR70</f>
        <v>0</v>
      </c>
      <c r="G70" s="358">
        <f t="shared" si="0"/>
        <v>4.32</v>
      </c>
      <c r="H70" s="367">
        <f>'PLANILHA DA PROPOSTA'!F76</f>
        <v>2.74</v>
      </c>
      <c r="I70" s="372">
        <f>'PLANILHA DA PROPOSTA'!G76</f>
        <v>3.34</v>
      </c>
      <c r="J70" s="367">
        <f t="shared" si="13"/>
        <v>14.4288</v>
      </c>
      <c r="K70" s="379">
        <f t="shared" si="14"/>
        <v>0</v>
      </c>
      <c r="L70" s="181">
        <f t="shared" si="15"/>
        <v>14.4288</v>
      </c>
      <c r="M70" s="632"/>
      <c r="P70" s="88">
        <f>'MEMÓRIA DE CÁLCULO'!I88</f>
        <v>0</v>
      </c>
      <c r="Q70" s="88">
        <f t="shared" si="16"/>
        <v>4.32</v>
      </c>
    </row>
    <row r="71" spans="1:17" s="98" customFormat="1" ht="45" hidden="1">
      <c r="A71" s="137" t="s">
        <v>218</v>
      </c>
      <c r="B71" s="200" t="s">
        <v>368</v>
      </c>
      <c r="C71" s="168" t="s">
        <v>226</v>
      </c>
      <c r="D71" s="173" t="s">
        <v>12</v>
      </c>
      <c r="E71" s="367">
        <v>4.32</v>
      </c>
      <c r="F71" s="388">
        <f>' ÚLTIMA MEDIÇÃO - BM Nº5'!BR71</f>
        <v>0</v>
      </c>
      <c r="G71" s="358">
        <f t="shared" si="0"/>
        <v>4.32</v>
      </c>
      <c r="H71" s="367">
        <f>'PLANILHA DA PROPOSTA'!F77</f>
        <v>113.67</v>
      </c>
      <c r="I71" s="372">
        <f>'PLANILHA DA PROPOSTA'!G77</f>
        <v>138.72</v>
      </c>
      <c r="J71" s="367">
        <f t="shared" si="13"/>
        <v>599.2704</v>
      </c>
      <c r="K71" s="379">
        <f t="shared" si="14"/>
        <v>0</v>
      </c>
      <c r="L71" s="181">
        <f t="shared" si="15"/>
        <v>599.2704</v>
      </c>
      <c r="M71" s="632"/>
      <c r="P71" s="88" t="e">
        <f>'MEMÓRIA DE CÁLCULO'!#REF!</f>
        <v>#REF!</v>
      </c>
      <c r="Q71" s="88" t="e">
        <f t="shared" si="16"/>
        <v>#REF!</v>
      </c>
    </row>
    <row r="72" spans="1:17" s="98" customFormat="1" ht="56.25" hidden="1">
      <c r="A72" s="137" t="s">
        <v>219</v>
      </c>
      <c r="B72" s="200" t="s">
        <v>368</v>
      </c>
      <c r="C72" s="168" t="s">
        <v>227</v>
      </c>
      <c r="D72" s="173" t="s">
        <v>17</v>
      </c>
      <c r="E72" s="367">
        <v>8.64</v>
      </c>
      <c r="F72" s="388">
        <f>' ÚLTIMA MEDIÇÃO - BM Nº5'!BR72</f>
        <v>8.64</v>
      </c>
      <c r="G72" s="358">
        <f t="shared" si="0"/>
        <v>0</v>
      </c>
      <c r="H72" s="367">
        <f>'PLANILHA DA PROPOSTA'!F78</f>
        <v>41.04</v>
      </c>
      <c r="I72" s="372">
        <f>'PLANILHA DA PROPOSTA'!G78</f>
        <v>50.09</v>
      </c>
      <c r="J72" s="367">
        <f t="shared" si="13"/>
        <v>432.77760000000006</v>
      </c>
      <c r="K72" s="379">
        <f t="shared" si="14"/>
        <v>432.77760000000006</v>
      </c>
      <c r="L72" s="181">
        <f t="shared" si="15"/>
        <v>0</v>
      </c>
      <c r="M72" s="632"/>
      <c r="P72" s="88" t="e">
        <f>'MEMÓRIA DE CÁLCULO'!#REF!</f>
        <v>#REF!</v>
      </c>
      <c r="Q72" s="88" t="e">
        <f t="shared" si="16"/>
        <v>#REF!</v>
      </c>
    </row>
    <row r="73" spans="1:17" s="98" customFormat="1" ht="12.75" hidden="1">
      <c r="A73" s="137"/>
      <c r="B73" s="164"/>
      <c r="C73" s="168"/>
      <c r="D73" s="173"/>
      <c r="E73" s="367"/>
      <c r="F73" s="388"/>
      <c r="G73" s="358"/>
      <c r="H73" s="367"/>
      <c r="I73" s="372"/>
      <c r="J73" s="367"/>
      <c r="K73" s="379"/>
      <c r="L73" s="181"/>
      <c r="M73" s="632"/>
      <c r="P73" s="88"/>
      <c r="Q73" s="88"/>
    </row>
    <row r="74" spans="1:18" s="61" customFormat="1" ht="12.75" hidden="1">
      <c r="A74" s="197">
        <v>7</v>
      </c>
      <c r="B74" s="201"/>
      <c r="C74" s="169" t="s">
        <v>21</v>
      </c>
      <c r="D74" s="174"/>
      <c r="E74" s="384"/>
      <c r="F74" s="388"/>
      <c r="G74" s="358"/>
      <c r="H74" s="367"/>
      <c r="I74" s="372"/>
      <c r="J74" s="384">
        <f>SUM(J75:J75)</f>
        <v>2366.7956</v>
      </c>
      <c r="K74" s="389">
        <f>SUM(K75:K75)</f>
        <v>0</v>
      </c>
      <c r="L74" s="375">
        <f>SUM(L75:L75)</f>
        <v>2366.7956</v>
      </c>
      <c r="M74" s="630"/>
      <c r="P74" s="88"/>
      <c r="Q74" s="88"/>
      <c r="R74" s="64"/>
    </row>
    <row r="75" spans="1:18" s="4" customFormat="1" ht="22.5" hidden="1">
      <c r="A75" s="137" t="s">
        <v>220</v>
      </c>
      <c r="B75" s="200" t="s">
        <v>368</v>
      </c>
      <c r="C75" s="168" t="s">
        <v>240</v>
      </c>
      <c r="D75" s="173" t="s">
        <v>12</v>
      </c>
      <c r="E75" s="367">
        <v>9103.06</v>
      </c>
      <c r="F75" s="388">
        <f>' ÚLTIMA MEDIÇÃO - BM Nº5'!BR75</f>
        <v>0</v>
      </c>
      <c r="G75" s="358">
        <f t="shared" si="0"/>
        <v>9103.06</v>
      </c>
      <c r="H75" s="367">
        <f>'PLANILHA DA PROPOSTA'!F81</f>
        <v>0.21</v>
      </c>
      <c r="I75" s="372">
        <f>'PLANILHA DA PROPOSTA'!G81</f>
        <v>0.26</v>
      </c>
      <c r="J75" s="367">
        <f>E75*I75</f>
        <v>2366.7956</v>
      </c>
      <c r="K75" s="379">
        <f>F75*I75</f>
        <v>0</v>
      </c>
      <c r="L75" s="181">
        <f>G75*I75</f>
        <v>2366.7956</v>
      </c>
      <c r="M75" s="63"/>
      <c r="P75" s="88" t="e">
        <f>'MEMÓRIA DE CÁLCULO'!#REF!</f>
        <v>#REF!</v>
      </c>
      <c r="Q75" s="88" t="e">
        <f>E75-P75</f>
        <v>#REF!</v>
      </c>
      <c r="R75" s="64"/>
    </row>
    <row r="76" spans="1:18" s="4" customFormat="1" ht="12.75" hidden="1">
      <c r="A76" s="556"/>
      <c r="B76" s="641"/>
      <c r="C76" s="557"/>
      <c r="D76" s="176"/>
      <c r="E76" s="368"/>
      <c r="F76" s="642"/>
      <c r="G76" s="512"/>
      <c r="H76" s="368"/>
      <c r="I76" s="558"/>
      <c r="J76" s="368"/>
      <c r="K76" s="380"/>
      <c r="L76" s="559"/>
      <c r="M76" s="63"/>
      <c r="P76" s="88"/>
      <c r="Q76" s="88"/>
      <c r="R76" s="64"/>
    </row>
    <row r="77" spans="1:18" s="4" customFormat="1" ht="13.5" hidden="1" thickBot="1">
      <c r="A77" s="556"/>
      <c r="B77" s="203"/>
      <c r="C77" s="557"/>
      <c r="D77" s="176"/>
      <c r="E77" s="368"/>
      <c r="F77" s="380"/>
      <c r="G77" s="512"/>
      <c r="H77" s="368"/>
      <c r="I77" s="558"/>
      <c r="J77" s="368"/>
      <c r="K77" s="380"/>
      <c r="L77" s="559"/>
      <c r="M77" s="63"/>
      <c r="P77" s="88"/>
      <c r="Q77" s="88"/>
      <c r="R77" s="64"/>
    </row>
    <row r="78" spans="1:18" s="4" customFormat="1" ht="16.5" customHeight="1" hidden="1" thickBot="1">
      <c r="A78" s="904" t="s">
        <v>360</v>
      </c>
      <c r="B78" s="905"/>
      <c r="C78" s="905"/>
      <c r="D78" s="905"/>
      <c r="E78" s="905"/>
      <c r="F78" s="905"/>
      <c r="G78" s="905"/>
      <c r="H78" s="905"/>
      <c r="I78" s="906"/>
      <c r="J78" s="571">
        <f>J22+J25+J39+J53+J58+J66+J74</f>
        <v>570087.8586</v>
      </c>
      <c r="K78" s="572">
        <f>(K22+K25+K39+K53+K58+K66+K74)+0.01</f>
        <v>493685.55644599994</v>
      </c>
      <c r="L78" s="573">
        <f>(L22+L25+L39+L53+L58+L66+L74)-0.01</f>
        <v>76402.30215399999</v>
      </c>
      <c r="M78" s="634">
        <f>J78-K78</f>
        <v>76402.30215400009</v>
      </c>
      <c r="P78" s="574"/>
      <c r="Q78" s="574"/>
      <c r="R78" s="64"/>
    </row>
    <row r="79" spans="1:18" s="4" customFormat="1" ht="12.75" hidden="1">
      <c r="A79" s="556"/>
      <c r="B79" s="641"/>
      <c r="C79" s="557"/>
      <c r="D79" s="176"/>
      <c r="E79" s="368"/>
      <c r="F79" s="642"/>
      <c r="G79" s="512"/>
      <c r="H79" s="368"/>
      <c r="I79" s="558"/>
      <c r="J79" s="368"/>
      <c r="K79" s="380"/>
      <c r="L79" s="559"/>
      <c r="M79" s="63"/>
      <c r="P79" s="88"/>
      <c r="Q79" s="88"/>
      <c r="R79" s="64"/>
    </row>
    <row r="80" spans="1:18" s="4" customFormat="1" ht="12.75" hidden="1">
      <c r="A80" s="556"/>
      <c r="B80" s="641"/>
      <c r="C80" s="557"/>
      <c r="D80" s="176"/>
      <c r="E80" s="368"/>
      <c r="F80" s="642"/>
      <c r="G80" s="512"/>
      <c r="H80" s="368"/>
      <c r="I80" s="558"/>
      <c r="J80" s="368"/>
      <c r="K80" s="380"/>
      <c r="L80" s="559"/>
      <c r="M80" s="63"/>
      <c r="P80" s="88"/>
      <c r="Q80" s="88"/>
      <c r="R80" s="64"/>
    </row>
    <row r="81" spans="1:18" s="644" customFormat="1" ht="12.75" hidden="1">
      <c r="A81" s="137"/>
      <c r="B81" s="200"/>
      <c r="C81" s="168"/>
      <c r="D81" s="173"/>
      <c r="E81" s="367"/>
      <c r="F81" s="388"/>
      <c r="G81" s="358"/>
      <c r="H81" s="367"/>
      <c r="I81" s="372"/>
      <c r="J81" s="367"/>
      <c r="K81" s="379"/>
      <c r="L81" s="181"/>
      <c r="M81" s="643"/>
      <c r="P81" s="645"/>
      <c r="Q81" s="645"/>
      <c r="R81" s="646"/>
    </row>
    <row r="82" spans="1:18" s="4" customFormat="1" ht="13.5" hidden="1" thickBot="1">
      <c r="A82" s="560"/>
      <c r="B82" s="561"/>
      <c r="C82" s="562"/>
      <c r="D82" s="563"/>
      <c r="E82" s="564"/>
      <c r="F82" s="565"/>
      <c r="G82" s="566"/>
      <c r="H82" s="564"/>
      <c r="I82" s="567"/>
      <c r="J82" s="564"/>
      <c r="K82" s="565"/>
      <c r="L82" s="568"/>
      <c r="M82" s="63"/>
      <c r="P82" s="88"/>
      <c r="Q82" s="88"/>
      <c r="R82" s="64"/>
    </row>
    <row r="83" spans="1:18" s="4" customFormat="1" ht="12.75" hidden="1">
      <c r="A83" s="513"/>
      <c r="B83" s="514"/>
      <c r="C83" s="515"/>
      <c r="D83" s="516"/>
      <c r="E83" s="517"/>
      <c r="F83" s="518"/>
      <c r="G83" s="519"/>
      <c r="H83" s="520"/>
      <c r="I83" s="521"/>
      <c r="J83" s="520"/>
      <c r="K83" s="522"/>
      <c r="L83" s="523"/>
      <c r="M83" s="63"/>
      <c r="P83" s="88"/>
      <c r="Q83" s="88"/>
      <c r="R83" s="64"/>
    </row>
    <row r="84" spans="1:18" s="4" customFormat="1" ht="22.5" hidden="1">
      <c r="A84" s="541"/>
      <c r="B84" s="542"/>
      <c r="C84" s="508" t="s">
        <v>374</v>
      </c>
      <c r="D84" s="543"/>
      <c r="E84" s="544"/>
      <c r="F84" s="545"/>
      <c r="G84" s="546"/>
      <c r="H84" s="547"/>
      <c r="I84" s="548"/>
      <c r="J84" s="547"/>
      <c r="K84" s="549"/>
      <c r="L84" s="550"/>
      <c r="M84" s="63"/>
      <c r="P84" s="88"/>
      <c r="Q84" s="88"/>
      <c r="R84" s="64"/>
    </row>
    <row r="85" spans="1:18" s="4" customFormat="1" ht="13.5" hidden="1" thickBot="1">
      <c r="A85" s="165"/>
      <c r="B85" s="171"/>
      <c r="C85" s="171"/>
      <c r="D85" s="525"/>
      <c r="E85" s="369"/>
      <c r="F85" s="381"/>
      <c r="G85" s="526"/>
      <c r="H85" s="369"/>
      <c r="I85" s="373"/>
      <c r="J85" s="369"/>
      <c r="K85" s="381"/>
      <c r="L85" s="363"/>
      <c r="M85" s="63"/>
      <c r="P85" s="88"/>
      <c r="Q85" s="88"/>
      <c r="R85" s="64"/>
    </row>
    <row r="86" spans="1:17" s="4" customFormat="1" ht="44.25" customHeight="1" thickBot="1">
      <c r="A86" s="138" t="s">
        <v>0</v>
      </c>
      <c r="B86" s="136" t="s">
        <v>3</v>
      </c>
      <c r="C86" s="69" t="s">
        <v>1</v>
      </c>
      <c r="D86" s="136" t="s">
        <v>2</v>
      </c>
      <c r="E86" s="359" t="s">
        <v>361</v>
      </c>
      <c r="F86" s="663" t="s">
        <v>272</v>
      </c>
      <c r="G86" s="136" t="s">
        <v>65</v>
      </c>
      <c r="H86" s="364" t="s">
        <v>10</v>
      </c>
      <c r="I86" s="74" t="s">
        <v>11</v>
      </c>
      <c r="J86" s="364" t="s">
        <v>361</v>
      </c>
      <c r="K86" s="376" t="s">
        <v>274</v>
      </c>
      <c r="L86" s="360" t="s">
        <v>367</v>
      </c>
      <c r="M86" s="63"/>
      <c r="P86" s="157" t="s">
        <v>45</v>
      </c>
      <c r="Q86" s="158" t="s">
        <v>81</v>
      </c>
    </row>
    <row r="87" spans="1:18" s="4" customFormat="1" ht="12.75">
      <c r="A87" s="513"/>
      <c r="B87" s="524"/>
      <c r="C87" s="515"/>
      <c r="D87" s="527"/>
      <c r="E87" s="528"/>
      <c r="F87" s="664"/>
      <c r="G87" s="671"/>
      <c r="H87" s="520"/>
      <c r="I87" s="521"/>
      <c r="J87" s="520"/>
      <c r="K87" s="522"/>
      <c r="L87" s="523"/>
      <c r="M87" s="63"/>
      <c r="P87" s="88"/>
      <c r="Q87" s="88"/>
      <c r="R87" s="64"/>
    </row>
    <row r="88" spans="1:17" s="61" customFormat="1" ht="18" customHeight="1" hidden="1">
      <c r="A88" s="196">
        <v>1</v>
      </c>
      <c r="B88" s="199" t="s">
        <v>46</v>
      </c>
      <c r="C88" s="167" t="s">
        <v>20</v>
      </c>
      <c r="D88" s="172"/>
      <c r="E88" s="366"/>
      <c r="F88" s="665"/>
      <c r="G88" s="672"/>
      <c r="H88" s="366"/>
      <c r="I88" s="371"/>
      <c r="J88" s="366">
        <f>SUM(J89:J90)</f>
        <v>0</v>
      </c>
      <c r="K88" s="378">
        <f>SUM(K89:K90)</f>
        <v>0</v>
      </c>
      <c r="L88" s="362">
        <f>SUM(L89:L90)</f>
        <v>0</v>
      </c>
      <c r="M88" s="630"/>
      <c r="Q88" s="93"/>
    </row>
    <row r="89" spans="1:17" s="4" customFormat="1" ht="12.75" hidden="1">
      <c r="A89" s="137" t="s">
        <v>13</v>
      </c>
      <c r="B89" s="200" t="s">
        <v>47</v>
      </c>
      <c r="C89" s="168" t="s">
        <v>48</v>
      </c>
      <c r="D89" s="173" t="s">
        <v>12</v>
      </c>
      <c r="E89" s="383">
        <f>G23</f>
        <v>0</v>
      </c>
      <c r="F89" s="666">
        <v>0</v>
      </c>
      <c r="G89" s="673">
        <f>E89+F89</f>
        <v>0</v>
      </c>
      <c r="H89" s="367">
        <f>'PLANILHA DA PROPOSTA'!F29</f>
        <v>306.07</v>
      </c>
      <c r="I89" s="372">
        <f>'PLANILHA DA PROPOSTA'!G29</f>
        <v>373.53</v>
      </c>
      <c r="J89" s="367">
        <f>E89*I89</f>
        <v>0</v>
      </c>
      <c r="K89" s="379">
        <f>F89*I89</f>
        <v>0</v>
      </c>
      <c r="L89" s="181">
        <f>G89*I89</f>
        <v>0</v>
      </c>
      <c r="M89" s="63"/>
      <c r="P89" s="88">
        <f>'MEMÓRIA DE CÁLCULO'!I100</f>
        <v>2.5</v>
      </c>
      <c r="Q89" s="88">
        <f>E89-P89</f>
        <v>-2.5</v>
      </c>
    </row>
    <row r="90" spans="1:17" s="4" customFormat="1" ht="12.75" hidden="1">
      <c r="A90" s="137"/>
      <c r="B90" s="200"/>
      <c r="C90" s="168"/>
      <c r="D90" s="173"/>
      <c r="E90" s="383"/>
      <c r="F90" s="667"/>
      <c r="G90" s="673"/>
      <c r="H90" s="367"/>
      <c r="I90" s="372"/>
      <c r="J90" s="367"/>
      <c r="K90" s="379"/>
      <c r="L90" s="181"/>
      <c r="M90" s="63"/>
      <c r="P90" s="88"/>
      <c r="Q90" s="88"/>
    </row>
    <row r="91" spans="1:17" s="61" customFormat="1" ht="12.75">
      <c r="A91" s="197">
        <v>1</v>
      </c>
      <c r="B91" s="201" t="s">
        <v>46</v>
      </c>
      <c r="C91" s="169" t="s">
        <v>30</v>
      </c>
      <c r="D91" s="174"/>
      <c r="E91" s="383"/>
      <c r="F91" s="668"/>
      <c r="G91" s="673"/>
      <c r="H91" s="367"/>
      <c r="I91" s="372"/>
      <c r="J91" s="384">
        <f>SUM(J92:J104)</f>
        <v>37573.9454</v>
      </c>
      <c r="K91" s="389">
        <f>SUM(K92:K104)</f>
        <v>-26954.294683999997</v>
      </c>
      <c r="L91" s="375">
        <f>SUM(L92:L104)</f>
        <v>10990.788156</v>
      </c>
      <c r="M91" s="635">
        <f>K91+L91</f>
        <v>-15963.506527999996</v>
      </c>
      <c r="P91" s="88"/>
      <c r="Q91" s="88"/>
    </row>
    <row r="92" spans="1:17" s="4" customFormat="1" ht="45" hidden="1">
      <c r="A92" s="137" t="s">
        <v>14</v>
      </c>
      <c r="B92" s="164" t="s">
        <v>368</v>
      </c>
      <c r="C92" s="168" t="s">
        <v>249</v>
      </c>
      <c r="D92" s="164" t="s">
        <v>17</v>
      </c>
      <c r="E92" s="383">
        <f aca="true" t="shared" si="17" ref="E92:E103">G26</f>
        <v>64.55999999999995</v>
      </c>
      <c r="F92" s="667">
        <f>-(E92-' ÚLTIMA MEDIÇÃO - BM Nº5'!BT26)</f>
        <v>-64.55999999999995</v>
      </c>
      <c r="G92" s="673">
        <f aca="true" t="shared" si="18" ref="G92:G142">E92+F92</f>
        <v>0</v>
      </c>
      <c r="H92" s="367">
        <v>0</v>
      </c>
      <c r="I92" s="372">
        <v>0</v>
      </c>
      <c r="J92" s="367">
        <f aca="true" t="shared" si="19" ref="J92:J103">E92*I26</f>
        <v>256.3031999999998</v>
      </c>
      <c r="K92" s="379">
        <f aca="true" t="shared" si="20" ref="K92:K101">F92*I26</f>
        <v>-256.3031999999998</v>
      </c>
      <c r="L92" s="181">
        <f aca="true" t="shared" si="21" ref="L92:L142">G92*I92</f>
        <v>0</v>
      </c>
      <c r="M92" s="63"/>
      <c r="P92" s="88">
        <f>'MEMÓRIA DE CÁLCULO'!I103</f>
        <v>654.72</v>
      </c>
      <c r="Q92" s="88">
        <f aca="true" t="shared" si="22" ref="Q92:Q103">E92-P92</f>
        <v>-590.1600000000001</v>
      </c>
    </row>
    <row r="93" spans="1:17" s="4" customFormat="1" ht="12.75" hidden="1">
      <c r="A93" s="137" t="s">
        <v>15</v>
      </c>
      <c r="B93" s="164" t="s">
        <v>368</v>
      </c>
      <c r="C93" s="168" t="s">
        <v>84</v>
      </c>
      <c r="D93" s="164" t="s">
        <v>12</v>
      </c>
      <c r="E93" s="383">
        <f t="shared" si="17"/>
        <v>40.19999999999999</v>
      </c>
      <c r="F93" s="667">
        <f>-(E93-' ÚLTIMA MEDIÇÃO - BM Nº5'!BT27)</f>
        <v>-40.19999999999999</v>
      </c>
      <c r="G93" s="673">
        <f t="shared" si="18"/>
        <v>0</v>
      </c>
      <c r="H93" s="367">
        <v>0</v>
      </c>
      <c r="I93" s="372">
        <v>0</v>
      </c>
      <c r="J93" s="367">
        <f t="shared" si="19"/>
        <v>829.7279999999998</v>
      </c>
      <c r="K93" s="379">
        <f t="shared" si="20"/>
        <v>-829.7279999999998</v>
      </c>
      <c r="L93" s="181">
        <f t="shared" si="21"/>
        <v>0</v>
      </c>
      <c r="M93" s="63"/>
      <c r="P93" s="88">
        <f>'MEMÓRIA DE CÁLCULO'!I104</f>
        <v>421.8</v>
      </c>
      <c r="Q93" s="88">
        <f t="shared" si="22"/>
        <v>-381.6</v>
      </c>
    </row>
    <row r="94" spans="1:17" s="4" customFormat="1" ht="43.5" customHeight="1" hidden="1">
      <c r="A94" s="137" t="s">
        <v>16</v>
      </c>
      <c r="B94" s="164" t="s">
        <v>368</v>
      </c>
      <c r="C94" s="168" t="s">
        <v>155</v>
      </c>
      <c r="D94" s="164" t="s">
        <v>18</v>
      </c>
      <c r="E94" s="383">
        <f t="shared" si="17"/>
        <v>35.99999999999997</v>
      </c>
      <c r="F94" s="667">
        <f>-(E94-' ÚLTIMA MEDIÇÃO - BM Nº5'!BT28)</f>
        <v>-35.99999999999997</v>
      </c>
      <c r="G94" s="673">
        <f t="shared" si="18"/>
        <v>0</v>
      </c>
      <c r="H94" s="367">
        <v>0</v>
      </c>
      <c r="I94" s="372">
        <v>0</v>
      </c>
      <c r="J94" s="367">
        <f t="shared" si="19"/>
        <v>2852.6399999999976</v>
      </c>
      <c r="K94" s="379">
        <f t="shared" si="20"/>
        <v>-2852.6399999999976</v>
      </c>
      <c r="L94" s="181">
        <f t="shared" si="21"/>
        <v>0</v>
      </c>
      <c r="M94" s="631"/>
      <c r="N94" s="97"/>
      <c r="O94" s="97"/>
      <c r="P94" s="88">
        <f>'MEMÓRIA DE CÁLCULO'!I105</f>
        <v>222</v>
      </c>
      <c r="Q94" s="88">
        <f t="shared" si="22"/>
        <v>-186.00000000000003</v>
      </c>
    </row>
    <row r="95" spans="1:17" s="4" customFormat="1" ht="57" customHeight="1" hidden="1">
      <c r="A95" s="137" t="s">
        <v>56</v>
      </c>
      <c r="B95" s="164" t="s">
        <v>368</v>
      </c>
      <c r="C95" s="168" t="s">
        <v>177</v>
      </c>
      <c r="D95" s="164" t="s">
        <v>18</v>
      </c>
      <c r="E95" s="383">
        <f t="shared" si="17"/>
        <v>12</v>
      </c>
      <c r="F95" s="667">
        <f>-(E95-' ÚLTIMA MEDIÇÃO - BM Nº5'!BT29)</f>
        <v>-12</v>
      </c>
      <c r="G95" s="673">
        <f t="shared" si="18"/>
        <v>0</v>
      </c>
      <c r="H95" s="367">
        <v>0</v>
      </c>
      <c r="I95" s="372">
        <v>0</v>
      </c>
      <c r="J95" s="367">
        <f t="shared" si="19"/>
        <v>1218.6</v>
      </c>
      <c r="K95" s="379">
        <f t="shared" si="20"/>
        <v>-1218.6</v>
      </c>
      <c r="L95" s="181">
        <f t="shared" si="21"/>
        <v>0</v>
      </c>
      <c r="M95" s="631"/>
      <c r="N95" s="97"/>
      <c r="O95" s="97"/>
      <c r="P95" s="88">
        <f>'MEMÓRIA DE CÁLCULO'!I106</f>
        <v>454</v>
      </c>
      <c r="Q95" s="88">
        <f t="shared" si="22"/>
        <v>-442</v>
      </c>
    </row>
    <row r="96" spans="1:17" s="4" customFormat="1" ht="55.5" customHeight="1" hidden="1">
      <c r="A96" s="137" t="s">
        <v>57</v>
      </c>
      <c r="B96" s="164" t="s">
        <v>368</v>
      </c>
      <c r="C96" s="168" t="s">
        <v>157</v>
      </c>
      <c r="D96" s="164" t="s">
        <v>18</v>
      </c>
      <c r="E96" s="383">
        <f t="shared" si="17"/>
        <v>18.999999999999996</v>
      </c>
      <c r="F96" s="667">
        <f>-(E96-' ÚLTIMA MEDIÇÃO - BM Nº5'!BT30)</f>
        <v>-18.999999999999996</v>
      </c>
      <c r="G96" s="673">
        <f t="shared" si="18"/>
        <v>0</v>
      </c>
      <c r="H96" s="367">
        <v>0</v>
      </c>
      <c r="I96" s="372">
        <v>0</v>
      </c>
      <c r="J96" s="367">
        <f t="shared" si="19"/>
        <v>3154.189999999999</v>
      </c>
      <c r="K96" s="379">
        <f t="shared" si="20"/>
        <v>-3154.189999999999</v>
      </c>
      <c r="L96" s="181">
        <f t="shared" si="21"/>
        <v>0</v>
      </c>
      <c r="M96" s="631"/>
      <c r="N96" s="97"/>
      <c r="O96" s="97"/>
      <c r="P96" s="88">
        <f>'MEMÓRIA DE CÁLCULO'!I107</f>
        <v>27</v>
      </c>
      <c r="Q96" s="88">
        <f t="shared" si="22"/>
        <v>-8.000000000000004</v>
      </c>
    </row>
    <row r="97" spans="1:17" s="4" customFormat="1" ht="22.5" hidden="1">
      <c r="A97" s="137" t="s">
        <v>61</v>
      </c>
      <c r="B97" s="164" t="s">
        <v>368</v>
      </c>
      <c r="C97" s="168" t="s">
        <v>86</v>
      </c>
      <c r="D97" s="173" t="s">
        <v>17</v>
      </c>
      <c r="E97" s="383">
        <f t="shared" si="17"/>
        <v>55.139999999999986</v>
      </c>
      <c r="F97" s="667">
        <f>-(E97-' ÚLTIMA MEDIÇÃO - BM Nº5'!BT31)</f>
        <v>-55.139999999999986</v>
      </c>
      <c r="G97" s="673">
        <f t="shared" si="18"/>
        <v>0</v>
      </c>
      <c r="H97" s="367">
        <v>0</v>
      </c>
      <c r="I97" s="372">
        <v>0</v>
      </c>
      <c r="J97" s="367">
        <f t="shared" si="19"/>
        <v>1518.0041999999996</v>
      </c>
      <c r="K97" s="379">
        <f t="shared" si="20"/>
        <v>-1518.0041999999996</v>
      </c>
      <c r="L97" s="181">
        <f t="shared" si="21"/>
        <v>0</v>
      </c>
      <c r="M97" s="63"/>
      <c r="P97" s="88">
        <f>'MEMÓRIA DE CÁLCULO'!I108</f>
        <v>574.38</v>
      </c>
      <c r="Q97" s="88">
        <f t="shared" si="22"/>
        <v>-519.24</v>
      </c>
    </row>
    <row r="98" spans="1:17" s="4" customFormat="1" ht="45.75" customHeight="1" hidden="1">
      <c r="A98" s="137" t="s">
        <v>90</v>
      </c>
      <c r="B98" s="164" t="s">
        <v>368</v>
      </c>
      <c r="C98" s="168" t="s">
        <v>88</v>
      </c>
      <c r="D98" s="164" t="s">
        <v>26</v>
      </c>
      <c r="E98" s="383">
        <f t="shared" si="17"/>
        <v>21</v>
      </c>
      <c r="F98" s="667">
        <v>-21</v>
      </c>
      <c r="G98" s="673">
        <f t="shared" si="18"/>
        <v>0</v>
      </c>
      <c r="H98" s="367">
        <v>0</v>
      </c>
      <c r="I98" s="372">
        <f aca="true" t="shared" si="23" ref="I98:I103">(H98*$L$16)+H98</f>
        <v>0</v>
      </c>
      <c r="J98" s="367">
        <f t="shared" si="19"/>
        <v>14990.009999999998</v>
      </c>
      <c r="K98" s="379">
        <f t="shared" si="20"/>
        <v>-14990.009999999998</v>
      </c>
      <c r="L98" s="181">
        <f>G98*I98</f>
        <v>0</v>
      </c>
      <c r="M98" s="63"/>
      <c r="P98" s="88">
        <f>'MEMÓRIA DE CÁLCULO'!I109</f>
        <v>15</v>
      </c>
      <c r="Q98" s="88">
        <f t="shared" si="22"/>
        <v>6</v>
      </c>
    </row>
    <row r="99" spans="1:17" s="4" customFormat="1" ht="22.5" hidden="1">
      <c r="A99" s="137" t="s">
        <v>91</v>
      </c>
      <c r="B99" s="164" t="s">
        <v>368</v>
      </c>
      <c r="C99" s="168" t="s">
        <v>89</v>
      </c>
      <c r="D99" s="164" t="s">
        <v>26</v>
      </c>
      <c r="E99" s="383">
        <f t="shared" si="17"/>
        <v>5</v>
      </c>
      <c r="F99" s="667">
        <v>-5</v>
      </c>
      <c r="G99" s="673">
        <f t="shared" si="18"/>
        <v>0</v>
      </c>
      <c r="H99" s="367">
        <v>0</v>
      </c>
      <c r="I99" s="372">
        <f t="shared" si="23"/>
        <v>0</v>
      </c>
      <c r="J99" s="367">
        <f t="shared" si="19"/>
        <v>5855.8</v>
      </c>
      <c r="K99" s="379">
        <f t="shared" si="20"/>
        <v>-5855.8</v>
      </c>
      <c r="L99" s="181">
        <f t="shared" si="21"/>
        <v>0</v>
      </c>
      <c r="M99" s="62"/>
      <c r="N99" s="63"/>
      <c r="O99" s="63"/>
      <c r="P99" s="88">
        <f>'MEMÓRIA DE CÁLCULO'!I110</f>
        <v>5</v>
      </c>
      <c r="Q99" s="88">
        <f t="shared" si="22"/>
        <v>0</v>
      </c>
    </row>
    <row r="100" spans="1:17" s="4" customFormat="1" ht="22.5" hidden="1">
      <c r="A100" s="137" t="s">
        <v>92</v>
      </c>
      <c r="B100" s="164" t="s">
        <v>368</v>
      </c>
      <c r="C100" s="168" t="s">
        <v>158</v>
      </c>
      <c r="D100" s="164" t="s">
        <v>26</v>
      </c>
      <c r="E100" s="383">
        <f t="shared" si="17"/>
        <v>2</v>
      </c>
      <c r="F100" s="667">
        <v>-2</v>
      </c>
      <c r="G100" s="673">
        <f t="shared" si="18"/>
        <v>0</v>
      </c>
      <c r="H100" s="367">
        <v>0</v>
      </c>
      <c r="I100" s="372">
        <f t="shared" si="23"/>
        <v>0</v>
      </c>
      <c r="J100" s="367">
        <f t="shared" si="19"/>
        <v>2918.34</v>
      </c>
      <c r="K100" s="379">
        <f t="shared" si="20"/>
        <v>-2918.34</v>
      </c>
      <c r="L100" s="181">
        <f t="shared" si="21"/>
        <v>0</v>
      </c>
      <c r="M100" s="63"/>
      <c r="P100" s="88">
        <f>'MEMÓRIA DE CÁLCULO'!I111</f>
        <v>2</v>
      </c>
      <c r="Q100" s="88">
        <f t="shared" si="22"/>
        <v>0</v>
      </c>
    </row>
    <row r="101" spans="1:17" s="4" customFormat="1" ht="33.75" hidden="1">
      <c r="A101" s="137" t="s">
        <v>130</v>
      </c>
      <c r="B101" s="164" t="s">
        <v>368</v>
      </c>
      <c r="C101" s="168" t="s">
        <v>253</v>
      </c>
      <c r="D101" s="164" t="s">
        <v>26</v>
      </c>
      <c r="E101" s="383">
        <f t="shared" si="17"/>
        <v>7</v>
      </c>
      <c r="F101" s="667">
        <v>-7</v>
      </c>
      <c r="G101" s="673">
        <f t="shared" si="18"/>
        <v>0</v>
      </c>
      <c r="H101" s="367">
        <v>0</v>
      </c>
      <c r="I101" s="372">
        <f t="shared" si="23"/>
        <v>0</v>
      </c>
      <c r="J101" s="367">
        <f t="shared" si="19"/>
        <v>2992.4300000000003</v>
      </c>
      <c r="K101" s="379">
        <f t="shared" si="20"/>
        <v>-2992.4300000000003</v>
      </c>
      <c r="L101" s="181">
        <f>G101*I101</f>
        <v>0</v>
      </c>
      <c r="M101" s="63"/>
      <c r="P101" s="88">
        <f>'MEMÓRIA DE CÁLCULO'!I112</f>
        <v>7</v>
      </c>
      <c r="Q101" s="88">
        <f>E101-P101</f>
        <v>0</v>
      </c>
    </row>
    <row r="102" spans="1:17" s="4" customFormat="1" ht="56.25">
      <c r="A102" s="137" t="s">
        <v>13</v>
      </c>
      <c r="B102" s="164">
        <v>94273</v>
      </c>
      <c r="C102" s="168" t="s">
        <v>376</v>
      </c>
      <c r="D102" s="164" t="s">
        <v>18</v>
      </c>
      <c r="E102" s="383">
        <f t="shared" si="17"/>
        <v>30</v>
      </c>
      <c r="F102" s="667">
        <v>190</v>
      </c>
      <c r="G102" s="673">
        <f t="shared" si="18"/>
        <v>220</v>
      </c>
      <c r="H102" s="367">
        <v>37.12</v>
      </c>
      <c r="I102" s="372">
        <f t="shared" si="23"/>
        <v>45.301248</v>
      </c>
      <c r="J102" s="367">
        <f t="shared" si="19"/>
        <v>987.9</v>
      </c>
      <c r="K102" s="379">
        <f>F102*I102</f>
        <v>8607.23712</v>
      </c>
      <c r="L102" s="181">
        <f>G102*I102</f>
        <v>9966.27456</v>
      </c>
      <c r="M102" s="636">
        <f>'MEMÓRIA DE CÁLCULO'!I37</f>
        <v>220</v>
      </c>
      <c r="N102" s="63"/>
      <c r="O102" s="63"/>
      <c r="P102" s="88">
        <f>'MEMÓRIA DE CÁLCULO'!I113</f>
        <v>220</v>
      </c>
      <c r="Q102" s="88">
        <f t="shared" si="22"/>
        <v>-190</v>
      </c>
    </row>
    <row r="103" spans="1:17" s="4" customFormat="1" ht="33.75" hidden="1">
      <c r="A103" s="137" t="s">
        <v>252</v>
      </c>
      <c r="B103" s="164">
        <v>94287</v>
      </c>
      <c r="C103" s="168" t="s">
        <v>377</v>
      </c>
      <c r="D103" s="164" t="s">
        <v>18</v>
      </c>
      <c r="E103" s="383">
        <f t="shared" si="17"/>
        <v>0</v>
      </c>
      <c r="F103" s="667">
        <v>0</v>
      </c>
      <c r="G103" s="673">
        <f t="shared" si="18"/>
        <v>0</v>
      </c>
      <c r="H103" s="367">
        <v>26.97</v>
      </c>
      <c r="I103" s="372">
        <f t="shared" si="23"/>
        <v>32.914187999999996</v>
      </c>
      <c r="J103" s="367">
        <f t="shared" si="19"/>
        <v>0</v>
      </c>
      <c r="K103" s="379">
        <f>F103*I103</f>
        <v>0</v>
      </c>
      <c r="L103" s="181">
        <f>G103*I103</f>
        <v>0</v>
      </c>
      <c r="M103" s="63"/>
      <c r="P103" s="88">
        <f>'MEMÓRIA DE CÁLCULO'!I114</f>
        <v>840.5</v>
      </c>
      <c r="Q103" s="88">
        <f t="shared" si="22"/>
        <v>-840.5</v>
      </c>
    </row>
    <row r="104" spans="1:17" s="4" customFormat="1" ht="33.75">
      <c r="A104" s="137">
        <v>1.2</v>
      </c>
      <c r="B104" s="164">
        <v>83716</v>
      </c>
      <c r="C104" s="168" t="s">
        <v>378</v>
      </c>
      <c r="D104" s="164" t="s">
        <v>26</v>
      </c>
      <c r="E104" s="383">
        <v>0</v>
      </c>
      <c r="F104" s="667">
        <v>3</v>
      </c>
      <c r="G104" s="673">
        <f t="shared" si="18"/>
        <v>3</v>
      </c>
      <c r="H104" s="367">
        <v>279.83</v>
      </c>
      <c r="I104" s="372">
        <f>(H104*L16)+H104</f>
        <v>341.504532</v>
      </c>
      <c r="J104" s="367">
        <f>E104*I104</f>
        <v>0</v>
      </c>
      <c r="K104" s="379">
        <f>F104*I104</f>
        <v>1024.513596</v>
      </c>
      <c r="L104" s="181">
        <f>G104*I104</f>
        <v>1024.513596</v>
      </c>
      <c r="M104" s="63"/>
      <c r="P104" s="88">
        <f>'MEMÓRIA DE CÁLCULO'!I116</f>
        <v>0</v>
      </c>
      <c r="Q104" s="88">
        <f>E104-P104</f>
        <v>0</v>
      </c>
    </row>
    <row r="105" spans="1:17" s="4" customFormat="1" ht="12.75">
      <c r="A105" s="137"/>
      <c r="B105" s="164"/>
      <c r="C105" s="168"/>
      <c r="D105" s="164"/>
      <c r="E105" s="383"/>
      <c r="F105" s="667"/>
      <c r="G105" s="673"/>
      <c r="H105" s="367"/>
      <c r="I105" s="372"/>
      <c r="J105" s="367"/>
      <c r="K105" s="379"/>
      <c r="L105" s="181"/>
      <c r="M105" s="63"/>
      <c r="P105" s="88"/>
      <c r="Q105" s="88"/>
    </row>
    <row r="106" spans="1:17" s="61" customFormat="1" ht="12.75" hidden="1">
      <c r="A106" s="197">
        <v>3</v>
      </c>
      <c r="B106" s="201" t="s">
        <v>46</v>
      </c>
      <c r="C106" s="169" t="s">
        <v>179</v>
      </c>
      <c r="D106" s="174"/>
      <c r="E106" s="383"/>
      <c r="F106" s="668"/>
      <c r="G106" s="673"/>
      <c r="H106" s="367"/>
      <c r="I106" s="372"/>
      <c r="J106" s="384"/>
      <c r="K106" s="389"/>
      <c r="L106" s="375"/>
      <c r="M106" s="630"/>
      <c r="P106" s="88"/>
      <c r="Q106" s="88"/>
    </row>
    <row r="107" spans="1:17" s="4" customFormat="1" ht="56.25" hidden="1">
      <c r="A107" s="137" t="s">
        <v>24</v>
      </c>
      <c r="B107" s="164" t="s">
        <v>184</v>
      </c>
      <c r="C107" s="168" t="s">
        <v>238</v>
      </c>
      <c r="D107" s="173" t="s">
        <v>17</v>
      </c>
      <c r="E107" s="383">
        <f aca="true" t="shared" si="24" ref="E107:E118">G40</f>
        <v>0</v>
      </c>
      <c r="F107" s="667">
        <v>0</v>
      </c>
      <c r="G107" s="673">
        <f t="shared" si="18"/>
        <v>0</v>
      </c>
      <c r="H107" s="367">
        <f>'PLANILHA DA PROPOSTA'!F46</f>
        <v>2.99</v>
      </c>
      <c r="I107" s="372">
        <f>'PLANILHA DA PROPOSTA'!G46</f>
        <v>3.65</v>
      </c>
      <c r="J107" s="367">
        <f aca="true" t="shared" si="25" ref="J107:J118">E107*I107</f>
        <v>0</v>
      </c>
      <c r="K107" s="379">
        <f aca="true" t="shared" si="26" ref="K107:K118">F107*I40</f>
        <v>0</v>
      </c>
      <c r="L107" s="181">
        <f t="shared" si="21"/>
        <v>0</v>
      </c>
      <c r="M107" s="63"/>
      <c r="P107" s="88">
        <f>'MEMÓRIA DE CÁLCULO'!I44</f>
        <v>2092.9125</v>
      </c>
      <c r="Q107" s="88">
        <f aca="true" t="shared" si="27" ref="Q107:Q118">E107-P107</f>
        <v>-2092.9125</v>
      </c>
    </row>
    <row r="108" spans="1:17" s="4" customFormat="1" ht="33.75" hidden="1">
      <c r="A108" s="137" t="s">
        <v>58</v>
      </c>
      <c r="B108" s="164">
        <v>92970</v>
      </c>
      <c r="C108" s="168" t="s">
        <v>221</v>
      </c>
      <c r="D108" s="173" t="s">
        <v>12</v>
      </c>
      <c r="E108" s="383">
        <f t="shared" si="24"/>
        <v>0</v>
      </c>
      <c r="F108" s="667">
        <v>0</v>
      </c>
      <c r="G108" s="673">
        <f t="shared" si="18"/>
        <v>0</v>
      </c>
      <c r="H108" s="367">
        <f>'PLANILHA DA PROPOSTA'!F47</f>
        <v>8.6</v>
      </c>
      <c r="I108" s="372">
        <f>'PLANILHA DA PROPOSTA'!G47</f>
        <v>10.5</v>
      </c>
      <c r="J108" s="367">
        <f t="shared" si="25"/>
        <v>0</v>
      </c>
      <c r="K108" s="379">
        <f t="shared" si="26"/>
        <v>0</v>
      </c>
      <c r="L108" s="181">
        <f t="shared" si="21"/>
        <v>0</v>
      </c>
      <c r="M108" s="63"/>
      <c r="P108" s="88">
        <f>'MEMÓRIA DE CÁLCULO'!I46</f>
        <v>54.672000000000004</v>
      </c>
      <c r="Q108" s="88">
        <f>E108-P108</f>
        <v>-54.672000000000004</v>
      </c>
    </row>
    <row r="109" spans="1:17" s="4" customFormat="1" ht="33.75" hidden="1">
      <c r="A109" s="137" t="s">
        <v>27</v>
      </c>
      <c r="B109" s="164">
        <v>72888</v>
      </c>
      <c r="C109" s="168" t="s">
        <v>186</v>
      </c>
      <c r="D109" s="173" t="s">
        <v>17</v>
      </c>
      <c r="E109" s="383">
        <f t="shared" si="24"/>
        <v>0</v>
      </c>
      <c r="F109" s="667">
        <v>0</v>
      </c>
      <c r="G109" s="673">
        <f t="shared" si="18"/>
        <v>0</v>
      </c>
      <c r="H109" s="367">
        <f>'PLANILHA DA PROPOSTA'!F48</f>
        <v>0.85</v>
      </c>
      <c r="I109" s="372">
        <f>'PLANILHA DA PROPOSTA'!G48</f>
        <v>1.04</v>
      </c>
      <c r="J109" s="367">
        <f t="shared" si="25"/>
        <v>0</v>
      </c>
      <c r="K109" s="379">
        <f t="shared" si="26"/>
        <v>0</v>
      </c>
      <c r="L109" s="181">
        <f t="shared" si="21"/>
        <v>0</v>
      </c>
      <c r="M109" s="63"/>
      <c r="N109" s="63"/>
      <c r="O109" s="63"/>
      <c r="P109" s="88">
        <f>'MEMÓRIA DE CÁLCULO'!I48</f>
        <v>2106.5805</v>
      </c>
      <c r="Q109" s="88">
        <f t="shared" si="27"/>
        <v>-2106.5805</v>
      </c>
    </row>
    <row r="110" spans="1:17" s="4" customFormat="1" ht="22.5" hidden="1">
      <c r="A110" s="137" t="s">
        <v>187</v>
      </c>
      <c r="B110" s="164">
        <v>83358</v>
      </c>
      <c r="C110" s="168" t="s">
        <v>190</v>
      </c>
      <c r="D110" s="173" t="s">
        <v>180</v>
      </c>
      <c r="E110" s="383">
        <f t="shared" si="24"/>
        <v>0</v>
      </c>
      <c r="F110" s="667">
        <v>0</v>
      </c>
      <c r="G110" s="673">
        <f t="shared" si="18"/>
        <v>0</v>
      </c>
      <c r="H110" s="367">
        <f>'PLANILHA DA PROPOSTA'!F49</f>
        <v>1.22</v>
      </c>
      <c r="I110" s="372">
        <f>'PLANILHA DA PROPOSTA'!G49</f>
        <v>1.49</v>
      </c>
      <c r="J110" s="367">
        <f t="shared" si="25"/>
        <v>0</v>
      </c>
      <c r="K110" s="379">
        <f t="shared" si="26"/>
        <v>0</v>
      </c>
      <c r="L110" s="181">
        <f t="shared" si="21"/>
        <v>0</v>
      </c>
      <c r="M110" s="63"/>
      <c r="N110" s="63"/>
      <c r="O110" s="63"/>
      <c r="P110" s="88">
        <f>'MEMÓRIA DE CÁLCULO'!I50</f>
        <v>3159.87075</v>
      </c>
      <c r="Q110" s="88">
        <f t="shared" si="27"/>
        <v>-3159.87075</v>
      </c>
    </row>
    <row r="111" spans="1:19" s="4" customFormat="1" ht="22.5" hidden="1">
      <c r="A111" s="137" t="s">
        <v>188</v>
      </c>
      <c r="B111" s="137">
        <v>72961</v>
      </c>
      <c r="C111" s="168" t="s">
        <v>51</v>
      </c>
      <c r="D111" s="173" t="s">
        <v>12</v>
      </c>
      <c r="E111" s="383">
        <f t="shared" si="24"/>
        <v>0</v>
      </c>
      <c r="F111" s="667">
        <v>0</v>
      </c>
      <c r="G111" s="673">
        <f t="shared" si="18"/>
        <v>0</v>
      </c>
      <c r="H111" s="367">
        <f>'PLANILHA DA PROPOSTA'!F50</f>
        <v>1.07</v>
      </c>
      <c r="I111" s="372">
        <f>'PLANILHA DA PROPOSTA'!G50</f>
        <v>1.31</v>
      </c>
      <c r="J111" s="367">
        <f t="shared" si="25"/>
        <v>0</v>
      </c>
      <c r="K111" s="379">
        <f t="shared" si="26"/>
        <v>0</v>
      </c>
      <c r="L111" s="181">
        <f t="shared" si="21"/>
        <v>0</v>
      </c>
      <c r="M111" s="63"/>
      <c r="N111" s="63"/>
      <c r="O111" s="63"/>
      <c r="P111" s="88">
        <f>'MEMÓRIA DE CÁLCULO'!I51</f>
        <v>8426.322</v>
      </c>
      <c r="Q111" s="88">
        <f t="shared" si="27"/>
        <v>-8426.322</v>
      </c>
      <c r="R111" s="192"/>
      <c r="S111" s="193"/>
    </row>
    <row r="112" spans="1:17" s="4" customFormat="1" ht="45" hidden="1">
      <c r="A112" s="137" t="s">
        <v>189</v>
      </c>
      <c r="B112" s="164" t="s">
        <v>184</v>
      </c>
      <c r="C112" s="168" t="s">
        <v>185</v>
      </c>
      <c r="D112" s="173" t="s">
        <v>17</v>
      </c>
      <c r="E112" s="383">
        <f t="shared" si="24"/>
        <v>0</v>
      </c>
      <c r="F112" s="667">
        <v>0</v>
      </c>
      <c r="G112" s="673">
        <f t="shared" si="18"/>
        <v>0</v>
      </c>
      <c r="H112" s="367">
        <f>'PLANILHA DA PROPOSTA'!F51</f>
        <v>2.99</v>
      </c>
      <c r="I112" s="372">
        <f>'PLANILHA DA PROPOSTA'!G51</f>
        <v>3.65</v>
      </c>
      <c r="J112" s="367">
        <f t="shared" si="25"/>
        <v>0</v>
      </c>
      <c r="K112" s="379">
        <f t="shared" si="26"/>
        <v>0</v>
      </c>
      <c r="L112" s="181">
        <f t="shared" si="21"/>
        <v>0</v>
      </c>
      <c r="M112" s="63"/>
      <c r="N112" s="63"/>
      <c r="O112" s="63"/>
      <c r="P112" s="88">
        <f>'MEMÓRIA DE CÁLCULO'!I52</f>
        <v>1685.2644</v>
      </c>
      <c r="Q112" s="88">
        <f t="shared" si="27"/>
        <v>-1685.2644</v>
      </c>
    </row>
    <row r="113" spans="1:17" s="4" customFormat="1" ht="22.5" hidden="1">
      <c r="A113" s="137" t="s">
        <v>191</v>
      </c>
      <c r="B113" s="164">
        <v>72841</v>
      </c>
      <c r="C113" s="168" t="s">
        <v>199</v>
      </c>
      <c r="D113" s="173" t="s">
        <v>181</v>
      </c>
      <c r="E113" s="383">
        <f t="shared" si="24"/>
        <v>0</v>
      </c>
      <c r="F113" s="667">
        <v>0</v>
      </c>
      <c r="G113" s="673">
        <f t="shared" si="18"/>
        <v>0</v>
      </c>
      <c r="H113" s="367">
        <f>'PLANILHA DA PROPOSTA'!F52</f>
        <v>0.81</v>
      </c>
      <c r="I113" s="372">
        <f>'PLANILHA DA PROPOSTA'!G52</f>
        <v>0.99</v>
      </c>
      <c r="J113" s="367">
        <f t="shared" si="25"/>
        <v>0</v>
      </c>
      <c r="K113" s="379">
        <f t="shared" si="26"/>
        <v>0</v>
      </c>
      <c r="L113" s="181">
        <f t="shared" si="21"/>
        <v>0</v>
      </c>
      <c r="M113" s="63"/>
      <c r="N113" s="63"/>
      <c r="O113" s="63"/>
      <c r="P113" s="88">
        <f>'MEMÓRIA DE CÁLCULO'!I53</f>
        <v>10516.049856000001</v>
      </c>
      <c r="Q113" s="88">
        <f t="shared" si="27"/>
        <v>-10516.049856000001</v>
      </c>
    </row>
    <row r="114" spans="1:17" s="4" customFormat="1" ht="33.75" hidden="1">
      <c r="A114" s="137" t="s">
        <v>192</v>
      </c>
      <c r="B114" s="164">
        <v>72911</v>
      </c>
      <c r="C114" s="168" t="s">
        <v>237</v>
      </c>
      <c r="D114" s="173" t="s">
        <v>17</v>
      </c>
      <c r="E114" s="383">
        <f t="shared" si="24"/>
        <v>0</v>
      </c>
      <c r="F114" s="667">
        <v>0</v>
      </c>
      <c r="G114" s="673">
        <f t="shared" si="18"/>
        <v>0</v>
      </c>
      <c r="H114" s="367">
        <f>'PLANILHA DA PROPOSTA'!F53</f>
        <v>8.25</v>
      </c>
      <c r="I114" s="372">
        <f>'PLANILHA DA PROPOSTA'!G53</f>
        <v>10.07</v>
      </c>
      <c r="J114" s="367">
        <f t="shared" si="25"/>
        <v>0</v>
      </c>
      <c r="K114" s="379">
        <f t="shared" si="26"/>
        <v>0</v>
      </c>
      <c r="L114" s="181">
        <f t="shared" si="21"/>
        <v>0</v>
      </c>
      <c r="M114" s="63"/>
      <c r="N114" s="63"/>
      <c r="O114" s="63"/>
      <c r="P114" s="88">
        <f>'MEMÓRIA DE CÁLCULO'!I54</f>
        <v>1685.2644</v>
      </c>
      <c r="Q114" s="88">
        <f t="shared" si="27"/>
        <v>-1685.2644</v>
      </c>
    </row>
    <row r="115" spans="1:18" s="4" customFormat="1" ht="22.5" hidden="1">
      <c r="A115" s="137" t="s">
        <v>193</v>
      </c>
      <c r="B115" s="164">
        <v>72843</v>
      </c>
      <c r="C115" s="168" t="s">
        <v>236</v>
      </c>
      <c r="D115" s="173" t="s">
        <v>181</v>
      </c>
      <c r="E115" s="383">
        <f t="shared" si="24"/>
        <v>0</v>
      </c>
      <c r="F115" s="667">
        <v>0</v>
      </c>
      <c r="G115" s="673">
        <f t="shared" si="18"/>
        <v>0</v>
      </c>
      <c r="H115" s="367">
        <f>'PLANILHA DA PROPOSTA'!F54</f>
        <v>0.55</v>
      </c>
      <c r="I115" s="372">
        <f>'PLANILHA DA PROPOSTA'!G54</f>
        <v>0.67</v>
      </c>
      <c r="J115" s="367">
        <f t="shared" si="25"/>
        <v>0</v>
      </c>
      <c r="K115" s="379">
        <f t="shared" si="26"/>
        <v>0</v>
      </c>
      <c r="L115" s="181">
        <f t="shared" si="21"/>
        <v>0</v>
      </c>
      <c r="M115" s="63"/>
      <c r="N115" s="63"/>
      <c r="O115" s="63"/>
      <c r="P115" s="88">
        <f>'MEMÓRIA DE CÁLCULO'!I55</f>
        <v>700.92817008</v>
      </c>
      <c r="Q115" s="88">
        <f t="shared" si="27"/>
        <v>-700.92817008</v>
      </c>
      <c r="R115" s="194"/>
    </row>
    <row r="116" spans="1:18" s="4" customFormat="1" ht="22.5" hidden="1">
      <c r="A116" s="137" t="s">
        <v>194</v>
      </c>
      <c r="B116" s="164">
        <v>72945</v>
      </c>
      <c r="C116" s="168" t="s">
        <v>197</v>
      </c>
      <c r="D116" s="173" t="s">
        <v>12</v>
      </c>
      <c r="E116" s="383">
        <f t="shared" si="24"/>
        <v>0</v>
      </c>
      <c r="F116" s="667">
        <v>0</v>
      </c>
      <c r="G116" s="673">
        <f t="shared" si="18"/>
        <v>0</v>
      </c>
      <c r="H116" s="367">
        <f>'PLANILHA DA PROPOSTA'!F55</f>
        <v>4.16</v>
      </c>
      <c r="I116" s="372">
        <f>'PLANILHA DA PROPOSTA'!G55</f>
        <v>5.08</v>
      </c>
      <c r="J116" s="367">
        <f t="shared" si="25"/>
        <v>0</v>
      </c>
      <c r="K116" s="379">
        <f t="shared" si="26"/>
        <v>0</v>
      </c>
      <c r="L116" s="181">
        <f t="shared" si="21"/>
        <v>0</v>
      </c>
      <c r="M116" s="63"/>
      <c r="N116" s="63"/>
      <c r="O116" s="63"/>
      <c r="P116" s="88">
        <f>'MEMÓRIA DE CÁLCULO'!I57</f>
        <v>8090.122</v>
      </c>
      <c r="Q116" s="88">
        <f t="shared" si="27"/>
        <v>-8090.122</v>
      </c>
      <c r="R116" s="194"/>
    </row>
    <row r="117" spans="1:18" s="4" customFormat="1" ht="22.5" hidden="1">
      <c r="A117" s="137" t="s">
        <v>195</v>
      </c>
      <c r="B117" s="164">
        <v>72840</v>
      </c>
      <c r="C117" s="168" t="s">
        <v>250</v>
      </c>
      <c r="D117" s="173" t="s">
        <v>181</v>
      </c>
      <c r="E117" s="383">
        <f t="shared" si="24"/>
        <v>0</v>
      </c>
      <c r="F117" s="667">
        <v>0</v>
      </c>
      <c r="G117" s="673">
        <f t="shared" si="18"/>
        <v>0</v>
      </c>
      <c r="H117" s="367">
        <f>'PLANILHA DA PROPOSTA'!F56</f>
        <v>0.42</v>
      </c>
      <c r="I117" s="372">
        <f>'PLANILHA DA PROPOSTA'!G56</f>
        <v>0.51</v>
      </c>
      <c r="J117" s="367">
        <f t="shared" si="25"/>
        <v>0</v>
      </c>
      <c r="K117" s="379">
        <f t="shared" si="26"/>
        <v>0</v>
      </c>
      <c r="L117" s="181">
        <f t="shared" si="21"/>
        <v>0</v>
      </c>
      <c r="M117" s="63"/>
      <c r="N117" s="63"/>
      <c r="O117" s="63"/>
      <c r="P117" s="88">
        <f>'MEMÓRIA DE CÁLCULO'!I59</f>
        <v>56074.2536064</v>
      </c>
      <c r="Q117" s="88">
        <f t="shared" si="27"/>
        <v>-56074.2536064</v>
      </c>
      <c r="R117" s="194"/>
    </row>
    <row r="118" spans="1:18" s="4" customFormat="1" ht="33.75" hidden="1">
      <c r="A118" s="137" t="s">
        <v>196</v>
      </c>
      <c r="B118" s="164">
        <v>72965</v>
      </c>
      <c r="C118" s="168" t="s">
        <v>251</v>
      </c>
      <c r="D118" s="173" t="s">
        <v>198</v>
      </c>
      <c r="E118" s="383">
        <f t="shared" si="24"/>
        <v>0</v>
      </c>
      <c r="F118" s="667">
        <v>0</v>
      </c>
      <c r="G118" s="673">
        <f t="shared" si="18"/>
        <v>0</v>
      </c>
      <c r="H118" s="367">
        <f>'PLANILHA DA PROPOSTA'!F57</f>
        <v>195.08</v>
      </c>
      <c r="I118" s="372">
        <f>'PLANILHA DA PROPOSTA'!G57</f>
        <v>238.08</v>
      </c>
      <c r="J118" s="367">
        <f t="shared" si="25"/>
        <v>0</v>
      </c>
      <c r="K118" s="379">
        <f t="shared" si="26"/>
        <v>0</v>
      </c>
      <c r="L118" s="181">
        <f t="shared" si="21"/>
        <v>0</v>
      </c>
      <c r="M118" s="280"/>
      <c r="N118" s="281" t="s">
        <v>213</v>
      </c>
      <c r="O118" s="281"/>
      <c r="P118" s="88">
        <f>'MEMÓRIA DE CÁLCULO'!I60</f>
        <v>776.651712</v>
      </c>
      <c r="Q118" s="88">
        <f t="shared" si="27"/>
        <v>-776.651712</v>
      </c>
      <c r="R118" s="194"/>
    </row>
    <row r="119" spans="1:18" s="4" customFormat="1" ht="12.75">
      <c r="A119" s="137"/>
      <c r="B119" s="164"/>
      <c r="C119" s="168"/>
      <c r="D119" s="173"/>
      <c r="E119" s="383"/>
      <c r="F119" s="667"/>
      <c r="G119" s="673"/>
      <c r="H119" s="367"/>
      <c r="I119" s="372"/>
      <c r="J119" s="367"/>
      <c r="K119" s="379"/>
      <c r="L119" s="181"/>
      <c r="M119" s="63"/>
      <c r="P119" s="88"/>
      <c r="Q119" s="88"/>
      <c r="R119" s="194"/>
    </row>
    <row r="120" spans="1:18" s="61" customFormat="1" ht="12.75">
      <c r="A120" s="197">
        <v>2</v>
      </c>
      <c r="B120" s="201" t="s">
        <v>46</v>
      </c>
      <c r="C120" s="169" t="s">
        <v>31</v>
      </c>
      <c r="D120" s="174"/>
      <c r="E120" s="383"/>
      <c r="F120" s="668"/>
      <c r="G120" s="673"/>
      <c r="H120" s="367"/>
      <c r="I120" s="372"/>
      <c r="J120" s="384">
        <f>SUM(J121:J124)</f>
        <v>28094.909554</v>
      </c>
      <c r="K120" s="389">
        <f>SUM(K121:K124)</f>
        <v>20010.35254896</v>
      </c>
      <c r="L120" s="375">
        <f>SUM(L121:L124)</f>
        <v>32347.386650502005</v>
      </c>
      <c r="M120" s="630"/>
      <c r="P120" s="88"/>
      <c r="Q120" s="88"/>
      <c r="R120" s="64"/>
    </row>
    <row r="121" spans="1:18" s="4" customFormat="1" ht="45">
      <c r="A121" s="137" t="s">
        <v>14</v>
      </c>
      <c r="B121" s="164">
        <v>96385</v>
      </c>
      <c r="C121" s="168" t="s">
        <v>379</v>
      </c>
      <c r="D121" s="173" t="s">
        <v>17</v>
      </c>
      <c r="E121" s="383">
        <f>G54</f>
        <v>53.80030000000001</v>
      </c>
      <c r="F121" s="667">
        <v>94.22</v>
      </c>
      <c r="G121" s="673">
        <f t="shared" si="18"/>
        <v>148.02030000000002</v>
      </c>
      <c r="H121" s="367">
        <v>5.35</v>
      </c>
      <c r="I121" s="372">
        <f>(H121*$L$16)+H121</f>
        <v>6.52914</v>
      </c>
      <c r="J121" s="367">
        <f>E121*I54</f>
        <v>5767.392160000001</v>
      </c>
      <c r="K121" s="379">
        <f>F121*I121</f>
        <v>615.1755708</v>
      </c>
      <c r="L121" s="181">
        <f>G121*I121</f>
        <v>966.4452615420001</v>
      </c>
      <c r="M121" s="637">
        <f>'MEMÓRIA DE CÁLCULO'!I63</f>
        <v>148.0185</v>
      </c>
      <c r="N121" s="194">
        <f>M121-E121</f>
        <v>94.21819999999998</v>
      </c>
      <c r="P121" s="88">
        <f>'MEMÓRIA DE CÁLCULO'!I132</f>
        <v>148.0185</v>
      </c>
      <c r="Q121" s="88">
        <f>E121-P121</f>
        <v>-94.21819999999998</v>
      </c>
      <c r="R121" s="64"/>
    </row>
    <row r="122" spans="1:18" s="4" customFormat="1" ht="65.25" customHeight="1">
      <c r="A122" s="137" t="s">
        <v>15</v>
      </c>
      <c r="B122" s="164">
        <v>94990</v>
      </c>
      <c r="C122" s="168" t="s">
        <v>380</v>
      </c>
      <c r="D122" s="173" t="s">
        <v>17</v>
      </c>
      <c r="E122" s="383">
        <v>17.93</v>
      </c>
      <c r="F122" s="667">
        <v>31.41</v>
      </c>
      <c r="G122" s="673">
        <f>E122+F122</f>
        <v>49.34</v>
      </c>
      <c r="H122" s="367">
        <v>515.24</v>
      </c>
      <c r="I122" s="372">
        <f>(H122*$L$16)+H122</f>
        <v>628.798896</v>
      </c>
      <c r="J122" s="367">
        <f>L55</f>
        <v>20541.156894000003</v>
      </c>
      <c r="K122" s="379">
        <f>F122*I122</f>
        <v>19750.57332336</v>
      </c>
      <c r="L122" s="181">
        <f>G122*I122</f>
        <v>31024.937528640003</v>
      </c>
      <c r="M122" s="194">
        <f>'MEMÓRIA DE CÁLCULO'!I66</f>
        <v>49.3395</v>
      </c>
      <c r="N122" s="194">
        <f>M122-E122</f>
        <v>31.4095</v>
      </c>
      <c r="O122" s="194">
        <f>G55*0.05</f>
        <v>17.93361</v>
      </c>
      <c r="P122" s="88">
        <f>'MEMÓRIA DE CÁLCULO'!I133</f>
        <v>49.3395</v>
      </c>
      <c r="Q122" s="88">
        <f>E122-P122</f>
        <v>-31.4095</v>
      </c>
      <c r="R122" s="64"/>
    </row>
    <row r="123" spans="1:18" s="4" customFormat="1" ht="55.5" customHeight="1">
      <c r="A123" s="137" t="s">
        <v>16</v>
      </c>
      <c r="B123" s="164" t="s">
        <v>390</v>
      </c>
      <c r="C123" s="168" t="s">
        <v>389</v>
      </c>
      <c r="D123" s="173" t="s">
        <v>12</v>
      </c>
      <c r="E123" s="383">
        <f>G56</f>
        <v>11.71</v>
      </c>
      <c r="F123" s="667">
        <v>-5.85</v>
      </c>
      <c r="G123" s="673">
        <f t="shared" si="18"/>
        <v>5.860000000000001</v>
      </c>
      <c r="H123" s="367">
        <v>49.78</v>
      </c>
      <c r="I123" s="372">
        <f>(H123*$L$16)+H123</f>
        <v>60.751512000000005</v>
      </c>
      <c r="J123" s="367">
        <f>E123*I56</f>
        <v>1786.3605000000002</v>
      </c>
      <c r="K123" s="379">
        <f>F123*I123</f>
        <v>-355.3963452</v>
      </c>
      <c r="L123" s="181">
        <f>G123*I123</f>
        <v>356.0038603200001</v>
      </c>
      <c r="M123" s="637">
        <f>'MEMÓRIA DE CÁLCULO'!I69</f>
        <v>5.856000000000001</v>
      </c>
      <c r="N123" s="637">
        <f>E123-M123</f>
        <v>5.854</v>
      </c>
      <c r="P123" s="88">
        <f>'MEMÓRIA DE CÁLCULO'!I134</f>
        <v>5.856000000000001</v>
      </c>
      <c r="Q123" s="88">
        <f>E123-P123</f>
        <v>5.854</v>
      </c>
      <c r="R123" s="64"/>
    </row>
    <row r="124" spans="1:17" s="4" customFormat="1" ht="12.75">
      <c r="A124" s="137"/>
      <c r="B124" s="164"/>
      <c r="C124" s="168"/>
      <c r="D124" s="173"/>
      <c r="E124" s="383"/>
      <c r="F124" s="667"/>
      <c r="G124" s="673"/>
      <c r="H124" s="367"/>
      <c r="I124" s="372"/>
      <c r="J124" s="367"/>
      <c r="K124" s="379"/>
      <c r="L124" s="181"/>
      <c r="M124" s="63"/>
      <c r="P124" s="88"/>
      <c r="Q124" s="88"/>
    </row>
    <row r="125" spans="1:18" s="61" customFormat="1" ht="12.75">
      <c r="A125" s="197">
        <v>3</v>
      </c>
      <c r="B125" s="201" t="s">
        <v>46</v>
      </c>
      <c r="C125" s="169" t="s">
        <v>67</v>
      </c>
      <c r="D125" s="174"/>
      <c r="E125" s="383"/>
      <c r="F125" s="668"/>
      <c r="G125" s="673"/>
      <c r="H125" s="367"/>
      <c r="I125" s="372"/>
      <c r="J125" s="384">
        <f>SUM(J126:J132)</f>
        <v>7441.1016</v>
      </c>
      <c r="K125" s="389">
        <f>SUM(K126:K132)</f>
        <v>-1318.70370816</v>
      </c>
      <c r="L125" s="375">
        <f>SUM(L126:L132)</f>
        <v>7858.744320960001</v>
      </c>
      <c r="M125" s="630"/>
      <c r="P125" s="88"/>
      <c r="Q125" s="88"/>
      <c r="R125" s="64"/>
    </row>
    <row r="126" spans="1:18" s="4" customFormat="1" ht="33.75">
      <c r="A126" s="137" t="s">
        <v>24</v>
      </c>
      <c r="B126" s="164" t="s">
        <v>420</v>
      </c>
      <c r="C126" s="168" t="s">
        <v>382</v>
      </c>
      <c r="D126" s="173" t="s">
        <v>12</v>
      </c>
      <c r="E126" s="383">
        <v>105.6</v>
      </c>
      <c r="F126" s="667">
        <v>0</v>
      </c>
      <c r="G126" s="673">
        <f t="shared" si="18"/>
        <v>105.6</v>
      </c>
      <c r="H126" s="367">
        <v>12.68</v>
      </c>
      <c r="I126" s="372">
        <f aca="true" t="shared" si="28" ref="I126:I131">(H126*$L$16)+H126</f>
        <v>15.474672</v>
      </c>
      <c r="J126" s="367">
        <f aca="true" t="shared" si="29" ref="J126:J131">E126*I59</f>
        <v>3387.6479999999997</v>
      </c>
      <c r="K126" s="379">
        <f aca="true" t="shared" si="30" ref="K126:K131">F126*I126</f>
        <v>0</v>
      </c>
      <c r="L126" s="181">
        <f>G126*I126</f>
        <v>1634.1253631999998</v>
      </c>
      <c r="M126" s="634">
        <f>'MEMÓRIA DE CÁLCULO'!I72</f>
        <v>105.6</v>
      </c>
      <c r="N126" s="640">
        <f aca="true" t="shared" si="31" ref="N126:N131">E126-M126</f>
        <v>0</v>
      </c>
      <c r="P126" s="88">
        <f>'MEMÓRIA DE CÁLCULO'!I137</f>
        <v>105.6</v>
      </c>
      <c r="Q126" s="88">
        <f aca="true" t="shared" si="32" ref="Q126:Q131">E126-P126</f>
        <v>0</v>
      </c>
      <c r="R126" s="64"/>
    </row>
    <row r="127" spans="1:18" s="4" customFormat="1" ht="33.75">
      <c r="A127" s="137" t="s">
        <v>58</v>
      </c>
      <c r="B127" s="164" t="s">
        <v>420</v>
      </c>
      <c r="C127" s="168" t="s">
        <v>383</v>
      </c>
      <c r="D127" s="173" t="s">
        <v>12</v>
      </c>
      <c r="E127" s="383">
        <f>E60</f>
        <v>6.84</v>
      </c>
      <c r="F127" s="667">
        <v>2.28</v>
      </c>
      <c r="G127" s="673">
        <f t="shared" si="18"/>
        <v>9.12</v>
      </c>
      <c r="H127" s="367">
        <v>12.68</v>
      </c>
      <c r="I127" s="372">
        <f t="shared" si="28"/>
        <v>15.474672</v>
      </c>
      <c r="J127" s="367">
        <f t="shared" si="29"/>
        <v>219.42719999999997</v>
      </c>
      <c r="K127" s="379">
        <f t="shared" si="30"/>
        <v>35.28225216</v>
      </c>
      <c r="L127" s="181">
        <f t="shared" si="21"/>
        <v>141.12900864</v>
      </c>
      <c r="M127" s="634">
        <f>'MEMÓRIA DE CÁLCULO'!I74</f>
        <v>9.12</v>
      </c>
      <c r="N127" s="640">
        <f t="shared" si="31"/>
        <v>-2.2799999999999994</v>
      </c>
      <c r="P127" s="88">
        <f>'MEMÓRIA DE CÁLCULO'!I138</f>
        <v>9.12</v>
      </c>
      <c r="Q127" s="88">
        <f t="shared" si="32"/>
        <v>-2.2799999999999994</v>
      </c>
      <c r="R127" s="64"/>
    </row>
    <row r="128" spans="1:18" s="4" customFormat="1" ht="33.75">
      <c r="A128" s="137" t="s">
        <v>27</v>
      </c>
      <c r="B128" s="164" t="s">
        <v>421</v>
      </c>
      <c r="C128" s="168" t="s">
        <v>384</v>
      </c>
      <c r="D128" s="173" t="s">
        <v>12</v>
      </c>
      <c r="E128" s="383">
        <f>E61</f>
        <v>6.48</v>
      </c>
      <c r="F128" s="667">
        <v>-1.44</v>
      </c>
      <c r="G128" s="673">
        <f t="shared" si="18"/>
        <v>5.040000000000001</v>
      </c>
      <c r="H128" s="367">
        <v>252.07</v>
      </c>
      <c r="I128" s="372">
        <f t="shared" si="28"/>
        <v>307.62622799999997</v>
      </c>
      <c r="J128" s="367">
        <f t="shared" si="29"/>
        <v>1767.2904000000003</v>
      </c>
      <c r="K128" s="379">
        <f t="shared" si="30"/>
        <v>-442.98176831999996</v>
      </c>
      <c r="L128" s="181">
        <f t="shared" si="21"/>
        <v>1550.43618912</v>
      </c>
      <c r="M128" s="634">
        <f>'MEMÓRIA DE CÁLCULO'!I75</f>
        <v>5.04</v>
      </c>
      <c r="N128" s="640">
        <f t="shared" si="31"/>
        <v>1.4400000000000004</v>
      </c>
      <c r="P128" s="88">
        <f>'MEMÓRIA DE CÁLCULO'!I139</f>
        <v>5.04</v>
      </c>
      <c r="Q128" s="88">
        <f t="shared" si="32"/>
        <v>1.4400000000000004</v>
      </c>
      <c r="R128" s="64"/>
    </row>
    <row r="129" spans="1:18" s="4" customFormat="1" ht="33.75">
      <c r="A129" s="137" t="s">
        <v>187</v>
      </c>
      <c r="B129" s="164" t="s">
        <v>422</v>
      </c>
      <c r="C129" s="168" t="s">
        <v>385</v>
      </c>
      <c r="D129" s="173" t="s">
        <v>26</v>
      </c>
      <c r="E129" s="383">
        <f>E62</f>
        <v>21</v>
      </c>
      <c r="F129" s="667">
        <v>-4</v>
      </c>
      <c r="G129" s="673">
        <f t="shared" si="18"/>
        <v>17</v>
      </c>
      <c r="H129" s="367">
        <v>195.26</v>
      </c>
      <c r="I129" s="372">
        <f t="shared" si="28"/>
        <v>238.295304</v>
      </c>
      <c r="J129" s="367">
        <f t="shared" si="29"/>
        <v>1636.95</v>
      </c>
      <c r="K129" s="379">
        <f t="shared" si="30"/>
        <v>-953.181216</v>
      </c>
      <c r="L129" s="181">
        <f t="shared" si="21"/>
        <v>4051.020168</v>
      </c>
      <c r="M129" s="634">
        <f>'MEMÓRIA DE CÁLCULO'!I76</f>
        <v>17</v>
      </c>
      <c r="N129" s="640">
        <f t="shared" si="31"/>
        <v>4</v>
      </c>
      <c r="P129" s="88">
        <f>'MEMÓRIA DE CÁLCULO'!I140</f>
        <v>17</v>
      </c>
      <c r="Q129" s="88">
        <f t="shared" si="32"/>
        <v>4</v>
      </c>
      <c r="R129" s="64"/>
    </row>
    <row r="130" spans="1:18" s="4" customFormat="1" ht="12.75">
      <c r="A130" s="137" t="s">
        <v>188</v>
      </c>
      <c r="B130" s="164" t="s">
        <v>368</v>
      </c>
      <c r="C130" s="168" t="s">
        <v>73</v>
      </c>
      <c r="D130" s="173" t="s">
        <v>12</v>
      </c>
      <c r="E130" s="383">
        <f>E63</f>
        <v>10.8</v>
      </c>
      <c r="F130" s="667">
        <v>3.6</v>
      </c>
      <c r="G130" s="673">
        <f t="shared" si="18"/>
        <v>14.4</v>
      </c>
      <c r="H130" s="367">
        <v>9.6</v>
      </c>
      <c r="I130" s="372">
        <f t="shared" si="28"/>
        <v>11.71584</v>
      </c>
      <c r="J130" s="367">
        <f t="shared" si="29"/>
        <v>126.57600000000002</v>
      </c>
      <c r="K130" s="379">
        <f t="shared" si="30"/>
        <v>42.177024</v>
      </c>
      <c r="L130" s="181">
        <f t="shared" si="21"/>
        <v>168.708096</v>
      </c>
      <c r="M130" s="634">
        <v>10.8</v>
      </c>
      <c r="N130" s="640">
        <f>P130-M130</f>
        <v>3.599999999999998</v>
      </c>
      <c r="P130" s="88">
        <f>'MEMÓRIA DE CÁLCULO'!I77</f>
        <v>14.399999999999999</v>
      </c>
      <c r="Q130" s="88">
        <f t="shared" si="32"/>
        <v>-3.599999999999998</v>
      </c>
      <c r="R130" s="64"/>
    </row>
    <row r="131" spans="1:18" s="4" customFormat="1" ht="22.5">
      <c r="A131" s="137" t="s">
        <v>189</v>
      </c>
      <c r="B131" s="164" t="s">
        <v>74</v>
      </c>
      <c r="C131" s="168" t="s">
        <v>75</v>
      </c>
      <c r="D131" s="173" t="s">
        <v>26</v>
      </c>
      <c r="E131" s="383">
        <f>E64</f>
        <v>3</v>
      </c>
      <c r="F131" s="667">
        <v>0</v>
      </c>
      <c r="G131" s="673">
        <f t="shared" si="18"/>
        <v>3</v>
      </c>
      <c r="H131" s="367">
        <v>85.58</v>
      </c>
      <c r="I131" s="372">
        <f t="shared" si="28"/>
        <v>104.441832</v>
      </c>
      <c r="J131" s="367">
        <f t="shared" si="29"/>
        <v>303.21</v>
      </c>
      <c r="K131" s="379">
        <f t="shared" si="30"/>
        <v>0</v>
      </c>
      <c r="L131" s="181">
        <f t="shared" si="21"/>
        <v>313.32549600000004</v>
      </c>
      <c r="M131" s="634">
        <f>'MEMÓRIA DE CÁLCULO'!I79</f>
        <v>3</v>
      </c>
      <c r="N131" s="640">
        <f t="shared" si="31"/>
        <v>0</v>
      </c>
      <c r="P131" s="88">
        <f>'MEMÓRIA DE CÁLCULO'!I141</f>
        <v>3</v>
      </c>
      <c r="Q131" s="88">
        <f t="shared" si="32"/>
        <v>0</v>
      </c>
      <c r="R131" s="64"/>
    </row>
    <row r="132" spans="1:18" s="89" customFormat="1" ht="12.75">
      <c r="A132" s="139"/>
      <c r="B132" s="202"/>
      <c r="C132" s="170"/>
      <c r="D132" s="175"/>
      <c r="E132" s="383"/>
      <c r="F132" s="669"/>
      <c r="G132" s="673"/>
      <c r="H132" s="367"/>
      <c r="I132" s="372"/>
      <c r="J132" s="367"/>
      <c r="K132" s="379"/>
      <c r="L132" s="181"/>
      <c r="M132" s="633"/>
      <c r="P132" s="88"/>
      <c r="Q132" s="88"/>
      <c r="R132" s="90"/>
    </row>
    <row r="133" spans="1:17" s="61" customFormat="1" ht="12.75">
      <c r="A133" s="197">
        <v>4</v>
      </c>
      <c r="B133" s="201" t="s">
        <v>46</v>
      </c>
      <c r="C133" s="169" t="s">
        <v>214</v>
      </c>
      <c r="D133" s="174"/>
      <c r="E133" s="383"/>
      <c r="F133" s="668"/>
      <c r="G133" s="673"/>
      <c r="H133" s="367"/>
      <c r="I133" s="372"/>
      <c r="J133" s="384">
        <f>SUM(J134:J140)</f>
        <v>925.56</v>
      </c>
      <c r="K133" s="389">
        <f>SUM(K134:K140)</f>
        <v>0</v>
      </c>
      <c r="L133" s="375">
        <f>SUM(L134:L140)</f>
        <v>928.5799046400001</v>
      </c>
      <c r="M133" s="630"/>
      <c r="P133" s="88"/>
      <c r="Q133" s="88"/>
    </row>
    <row r="134" spans="1:17" s="98" customFormat="1" ht="22.5" hidden="1">
      <c r="A134" s="137" t="s">
        <v>68</v>
      </c>
      <c r="B134" s="164">
        <v>72215</v>
      </c>
      <c r="C134" s="168" t="s">
        <v>222</v>
      </c>
      <c r="D134" s="173" t="s">
        <v>17</v>
      </c>
      <c r="E134" s="383">
        <f aca="true" t="shared" si="33" ref="E134:E139">G67</f>
        <v>0</v>
      </c>
      <c r="F134" s="667">
        <v>0</v>
      </c>
      <c r="G134" s="673">
        <f t="shared" si="18"/>
        <v>0</v>
      </c>
      <c r="H134" s="367">
        <f>'PLANILHA DA PROPOSTA'!F73</f>
        <v>28.18</v>
      </c>
      <c r="I134" s="372">
        <f>'PLANILHA DA PROPOSTA'!G73</f>
        <v>34.39</v>
      </c>
      <c r="J134" s="367">
        <f>E134*I134</f>
        <v>0</v>
      </c>
      <c r="K134" s="379">
        <f>F134*I67</f>
        <v>0</v>
      </c>
      <c r="L134" s="181">
        <f t="shared" si="21"/>
        <v>0</v>
      </c>
      <c r="M134" s="632"/>
      <c r="P134" s="88">
        <f>'MEMÓRIA DE CÁLCULO'!I144</f>
        <v>1.08</v>
      </c>
      <c r="Q134" s="88">
        <f aca="true" t="shared" si="34" ref="Q134:Q139">E134-P134</f>
        <v>-1.08</v>
      </c>
    </row>
    <row r="135" spans="1:17" s="98" customFormat="1" ht="56.25" hidden="1">
      <c r="A135" s="137" t="s">
        <v>215</v>
      </c>
      <c r="B135" s="164">
        <v>90100</v>
      </c>
      <c r="C135" s="168" t="s">
        <v>223</v>
      </c>
      <c r="D135" s="173" t="s">
        <v>17</v>
      </c>
      <c r="E135" s="383">
        <f t="shared" si="33"/>
        <v>0</v>
      </c>
      <c r="F135" s="667">
        <v>0</v>
      </c>
      <c r="G135" s="673">
        <f t="shared" si="18"/>
        <v>0</v>
      </c>
      <c r="H135" s="367">
        <f>'PLANILHA DA PROPOSTA'!F74</f>
        <v>11.35</v>
      </c>
      <c r="I135" s="372">
        <f>'PLANILHA DA PROPOSTA'!G74</f>
        <v>13.85</v>
      </c>
      <c r="J135" s="367">
        <f>E135*I135</f>
        <v>0</v>
      </c>
      <c r="K135" s="379">
        <f>F135*I68</f>
        <v>0</v>
      </c>
      <c r="L135" s="181">
        <f t="shared" si="21"/>
        <v>0</v>
      </c>
      <c r="M135" s="632"/>
      <c r="P135" s="88">
        <f>'MEMÓRIA DE CÁLCULO'!I145</f>
        <v>8.64</v>
      </c>
      <c r="Q135" s="88">
        <f t="shared" si="34"/>
        <v>-8.64</v>
      </c>
    </row>
    <row r="136" spans="1:17" s="4" customFormat="1" ht="56.25">
      <c r="A136" s="137" t="s">
        <v>25</v>
      </c>
      <c r="B136" s="164">
        <v>87463</v>
      </c>
      <c r="C136" s="168" t="s">
        <v>224</v>
      </c>
      <c r="D136" s="173" t="s">
        <v>12</v>
      </c>
      <c r="E136" s="383">
        <f t="shared" si="33"/>
        <v>4.32</v>
      </c>
      <c r="F136" s="667">
        <v>0</v>
      </c>
      <c r="G136" s="673">
        <f t="shared" si="18"/>
        <v>4.32</v>
      </c>
      <c r="H136" s="367">
        <v>70.74</v>
      </c>
      <c r="I136" s="372">
        <f>(H136*$L$16)+H136</f>
        <v>86.331096</v>
      </c>
      <c r="J136" s="367">
        <f>E136*I69</f>
        <v>311.8608</v>
      </c>
      <c r="K136" s="379">
        <f>F136*I136</f>
        <v>0</v>
      </c>
      <c r="L136" s="181">
        <f>G136*I136</f>
        <v>372.95033472000006</v>
      </c>
      <c r="M136" s="63"/>
      <c r="P136" s="88">
        <f>'MEMÓRIA DE CÁLCULO'!I146</f>
        <v>4.32</v>
      </c>
      <c r="Q136" s="88">
        <f t="shared" si="34"/>
        <v>0</v>
      </c>
    </row>
    <row r="137" spans="1:17" s="4" customFormat="1" ht="45">
      <c r="A137" s="137" t="s">
        <v>59</v>
      </c>
      <c r="B137" s="164">
        <v>87878</v>
      </c>
      <c r="C137" s="168" t="s">
        <v>225</v>
      </c>
      <c r="D137" s="173" t="s">
        <v>12</v>
      </c>
      <c r="E137" s="383">
        <f t="shared" si="33"/>
        <v>4.32</v>
      </c>
      <c r="F137" s="667">
        <v>0</v>
      </c>
      <c r="G137" s="673">
        <f t="shared" si="18"/>
        <v>4.32</v>
      </c>
      <c r="H137" s="367">
        <v>3.14</v>
      </c>
      <c r="I137" s="372">
        <f>(H137*$L$16)+H137</f>
        <v>3.832056</v>
      </c>
      <c r="J137" s="367">
        <f>E137*I70</f>
        <v>14.4288</v>
      </c>
      <c r="K137" s="379">
        <f>F137*I137</f>
        <v>0</v>
      </c>
      <c r="L137" s="181">
        <f t="shared" si="21"/>
        <v>16.55448192</v>
      </c>
      <c r="M137" s="63"/>
      <c r="P137" s="88">
        <f>'MEMÓRIA DE CÁLCULO'!I147</f>
        <v>4.32</v>
      </c>
      <c r="Q137" s="88">
        <f t="shared" si="34"/>
        <v>0</v>
      </c>
    </row>
    <row r="138" spans="1:17" s="4" customFormat="1" ht="45">
      <c r="A138" s="137" t="s">
        <v>159</v>
      </c>
      <c r="B138" s="164" t="s">
        <v>381</v>
      </c>
      <c r="C138" s="168" t="s">
        <v>226</v>
      </c>
      <c r="D138" s="173" t="s">
        <v>12</v>
      </c>
      <c r="E138" s="383">
        <f t="shared" si="33"/>
        <v>4.32</v>
      </c>
      <c r="F138" s="667">
        <v>0</v>
      </c>
      <c r="G138" s="673">
        <f t="shared" si="18"/>
        <v>4.32</v>
      </c>
      <c r="H138" s="367">
        <v>102.25</v>
      </c>
      <c r="I138" s="372">
        <f>(H138*$L$16)+H138</f>
        <v>124.7859</v>
      </c>
      <c r="J138" s="367">
        <f>E138*I71</f>
        <v>599.2704</v>
      </c>
      <c r="K138" s="379">
        <f>F138*I138</f>
        <v>0</v>
      </c>
      <c r="L138" s="181">
        <f t="shared" si="21"/>
        <v>539.075088</v>
      </c>
      <c r="M138" s="63"/>
      <c r="P138" s="88">
        <f>'MEMÓRIA DE CÁLCULO'!I148</f>
        <v>4.32</v>
      </c>
      <c r="Q138" s="88">
        <f t="shared" si="34"/>
        <v>0</v>
      </c>
    </row>
    <row r="139" spans="1:17" s="98" customFormat="1" ht="56.25" hidden="1">
      <c r="A139" s="137" t="s">
        <v>219</v>
      </c>
      <c r="B139" s="164">
        <v>5719</v>
      </c>
      <c r="C139" s="168" t="s">
        <v>227</v>
      </c>
      <c r="D139" s="173" t="s">
        <v>17</v>
      </c>
      <c r="E139" s="383">
        <f t="shared" si="33"/>
        <v>0</v>
      </c>
      <c r="F139" s="667">
        <v>0</v>
      </c>
      <c r="G139" s="673">
        <f t="shared" si="18"/>
        <v>0</v>
      </c>
      <c r="H139" s="367">
        <f>'PLANILHA DA PROPOSTA'!F78</f>
        <v>41.04</v>
      </c>
      <c r="I139" s="372">
        <f>'PLANILHA DA PROPOSTA'!G78</f>
        <v>50.09</v>
      </c>
      <c r="J139" s="367">
        <f>E139*I139</f>
        <v>0</v>
      </c>
      <c r="K139" s="379">
        <f>F139*I72</f>
        <v>0</v>
      </c>
      <c r="L139" s="181">
        <f t="shared" si="21"/>
        <v>0</v>
      </c>
      <c r="M139" s="632"/>
      <c r="P139" s="88">
        <f>'MEMÓRIA DE CÁLCULO'!I149</f>
        <v>8.64</v>
      </c>
      <c r="Q139" s="88">
        <f t="shared" si="34"/>
        <v>-8.64</v>
      </c>
    </row>
    <row r="140" spans="1:17" s="98" customFormat="1" ht="12.75" hidden="1">
      <c r="A140" s="137"/>
      <c r="B140" s="164"/>
      <c r="C140" s="168"/>
      <c r="D140" s="173"/>
      <c r="E140" s="383"/>
      <c r="F140" s="667"/>
      <c r="G140" s="673"/>
      <c r="H140" s="367"/>
      <c r="I140" s="372"/>
      <c r="J140" s="367"/>
      <c r="K140" s="379"/>
      <c r="L140" s="181"/>
      <c r="M140" s="632"/>
      <c r="P140" s="88"/>
      <c r="Q140" s="88"/>
    </row>
    <row r="141" spans="1:18" s="61" customFormat="1" ht="12.75" hidden="1">
      <c r="A141" s="197">
        <v>7</v>
      </c>
      <c r="B141" s="201" t="s">
        <v>46</v>
      </c>
      <c r="C141" s="169" t="s">
        <v>21</v>
      </c>
      <c r="D141" s="174"/>
      <c r="E141" s="383"/>
      <c r="F141" s="668"/>
      <c r="G141" s="673"/>
      <c r="H141" s="367"/>
      <c r="I141" s="372"/>
      <c r="J141" s="384">
        <f>SUM(J142:J142)</f>
        <v>2366.7956</v>
      </c>
      <c r="K141" s="389">
        <f>SUM(K142:K142)</f>
        <v>-2332.96862904</v>
      </c>
      <c r="L141" s="375">
        <f>SUM(L142:L142)</f>
        <v>0</v>
      </c>
      <c r="M141" s="630"/>
      <c r="P141" s="88"/>
      <c r="Q141" s="88"/>
      <c r="R141" s="64"/>
    </row>
    <row r="142" spans="1:18" s="4" customFormat="1" ht="22.5" hidden="1">
      <c r="A142" s="137" t="s">
        <v>220</v>
      </c>
      <c r="B142" s="164" t="s">
        <v>368</v>
      </c>
      <c r="C142" s="168" t="s">
        <v>240</v>
      </c>
      <c r="D142" s="173" t="s">
        <v>12</v>
      </c>
      <c r="E142" s="383">
        <f>G75</f>
        <v>9103.06</v>
      </c>
      <c r="F142" s="667">
        <f>-E142</f>
        <v>-9103.06</v>
      </c>
      <c r="G142" s="673">
        <f t="shared" si="18"/>
        <v>0</v>
      </c>
      <c r="H142" s="367">
        <v>0.21</v>
      </c>
      <c r="I142" s="372">
        <f>(H142*$L$16)+H142</f>
        <v>0.256284</v>
      </c>
      <c r="J142" s="367">
        <f>E142*I75</f>
        <v>2366.7956</v>
      </c>
      <c r="K142" s="379">
        <f>F142*I142</f>
        <v>-2332.96862904</v>
      </c>
      <c r="L142" s="181">
        <f t="shared" si="21"/>
        <v>0</v>
      </c>
      <c r="M142" s="194">
        <v>0</v>
      </c>
      <c r="N142" s="194">
        <f>M142-E142</f>
        <v>-9103.06</v>
      </c>
      <c r="P142" s="88" t="e">
        <f>'MEMÓRIA DE CÁLCULO'!#REF!</f>
        <v>#REF!</v>
      </c>
      <c r="Q142" s="88" t="e">
        <f>E142-P142</f>
        <v>#REF!</v>
      </c>
      <c r="R142" s="64"/>
    </row>
    <row r="143" spans="1:18" s="4" customFormat="1" ht="13.5" thickBot="1">
      <c r="A143" s="165"/>
      <c r="B143" s="204"/>
      <c r="C143" s="171"/>
      <c r="D143" s="176"/>
      <c r="E143" s="369"/>
      <c r="F143" s="670"/>
      <c r="G143" s="674"/>
      <c r="H143" s="369"/>
      <c r="I143" s="373"/>
      <c r="J143" s="369"/>
      <c r="K143" s="381"/>
      <c r="L143" s="363"/>
      <c r="M143" s="63"/>
      <c r="P143" s="88"/>
      <c r="Q143" s="94"/>
      <c r="R143" s="64"/>
    </row>
    <row r="144" spans="1:17" ht="18" customHeight="1" thickBot="1">
      <c r="A144" s="889" t="s">
        <v>430</v>
      </c>
      <c r="B144" s="890"/>
      <c r="C144" s="890"/>
      <c r="D144" s="890"/>
      <c r="E144" s="890"/>
      <c r="F144" s="890"/>
      <c r="G144" s="890"/>
      <c r="H144" s="890"/>
      <c r="I144" s="891"/>
      <c r="J144" s="553">
        <f>(J88+J91+J106+J120+J125+J133+J141)-0.01</f>
        <v>76402.30215399999</v>
      </c>
      <c r="K144" s="554">
        <f>K88+K91+K106+K120+K125+K133+K141</f>
        <v>-10595.614472239997</v>
      </c>
      <c r="L144" s="555">
        <f>L88+L91+L106+L120+L125+L133+L141</f>
        <v>52125.49903210201</v>
      </c>
      <c r="M144" s="186">
        <f>J144-L144</f>
        <v>24276.80312189798</v>
      </c>
      <c r="P144" s="569"/>
      <c r="Q144" s="570"/>
    </row>
    <row r="145" spans="1:17" s="182" customFormat="1" ht="13.5" customHeight="1">
      <c r="A145" s="314"/>
      <c r="B145" s="576"/>
      <c r="C145" s="576"/>
      <c r="D145" s="576"/>
      <c r="E145" s="576"/>
      <c r="F145" s="576"/>
      <c r="G145" s="576"/>
      <c r="H145" s="576"/>
      <c r="I145" s="576"/>
      <c r="J145" s="577"/>
      <c r="K145" s="577"/>
      <c r="L145" s="578"/>
      <c r="M145" s="186"/>
      <c r="P145" s="86"/>
      <c r="Q145" s="95"/>
    </row>
    <row r="146" spans="1:17" s="182" customFormat="1" ht="18" customHeight="1">
      <c r="A146" s="314"/>
      <c r="B146" s="650" t="s">
        <v>404</v>
      </c>
      <c r="C146" s="576"/>
      <c r="D146" s="576"/>
      <c r="E146" s="576"/>
      <c r="F146" s="576"/>
      <c r="G146" s="576"/>
      <c r="H146" s="576"/>
      <c r="I146" s="576"/>
      <c r="J146" s="577"/>
      <c r="K146" s="577"/>
      <c r="L146" s="578"/>
      <c r="M146" s="186"/>
      <c r="P146" s="86"/>
      <c r="Q146" s="95"/>
    </row>
    <row r="147" spans="1:17" s="182" customFormat="1" ht="9.75" customHeight="1">
      <c r="A147" s="314"/>
      <c r="B147" s="650"/>
      <c r="C147" s="576"/>
      <c r="D147" s="576"/>
      <c r="E147" s="576"/>
      <c r="F147" s="576"/>
      <c r="G147" s="576"/>
      <c r="H147" s="576"/>
      <c r="I147" s="576"/>
      <c r="J147" s="577"/>
      <c r="K147" s="577"/>
      <c r="L147" s="578"/>
      <c r="M147" s="186"/>
      <c r="P147" s="86"/>
      <c r="Q147" s="95"/>
    </row>
    <row r="148" spans="1:17" s="182" customFormat="1" ht="18" customHeight="1">
      <c r="A148" s="314"/>
      <c r="B148" s="579" t="s">
        <v>424</v>
      </c>
      <c r="C148" s="576"/>
      <c r="D148" s="576"/>
      <c r="E148" s="576"/>
      <c r="F148" s="576"/>
      <c r="G148" s="576"/>
      <c r="H148" s="576"/>
      <c r="I148" s="576"/>
      <c r="J148" s="577"/>
      <c r="K148" s="577"/>
      <c r="L148" s="578"/>
      <c r="M148" s="186"/>
      <c r="P148" s="86"/>
      <c r="Q148" s="95"/>
    </row>
    <row r="149" spans="1:17" s="182" customFormat="1" ht="11.25" customHeight="1">
      <c r="A149" s="314"/>
      <c r="B149" s="579"/>
      <c r="C149" s="576"/>
      <c r="D149" s="576"/>
      <c r="E149" s="576"/>
      <c r="F149" s="576"/>
      <c r="G149" s="576"/>
      <c r="H149" s="576"/>
      <c r="I149" s="576"/>
      <c r="J149" s="577"/>
      <c r="K149" s="577"/>
      <c r="L149" s="578"/>
      <c r="M149" s="186"/>
      <c r="P149" s="86"/>
      <c r="Q149" s="95"/>
    </row>
    <row r="150" spans="1:17" s="182" customFormat="1" ht="24" customHeight="1">
      <c r="A150" s="580" t="s">
        <v>391</v>
      </c>
      <c r="B150" s="908" t="s">
        <v>423</v>
      </c>
      <c r="C150" s="908"/>
      <c r="D150" s="908"/>
      <c r="E150" s="908"/>
      <c r="F150" s="908"/>
      <c r="G150" s="908"/>
      <c r="H150" s="908"/>
      <c r="I150" s="908"/>
      <c r="J150" s="908"/>
      <c r="K150" s="908"/>
      <c r="L150" s="578"/>
      <c r="M150" s="186"/>
      <c r="P150" s="86"/>
      <c r="Q150" s="95"/>
    </row>
    <row r="151" spans="1:17" s="182" customFormat="1" ht="10.5" customHeight="1">
      <c r="A151" s="580"/>
      <c r="B151" s="581"/>
      <c r="C151" s="581"/>
      <c r="D151" s="581"/>
      <c r="E151" s="581"/>
      <c r="F151" s="581"/>
      <c r="G151" s="581"/>
      <c r="H151" s="581"/>
      <c r="I151" s="581"/>
      <c r="J151" s="581"/>
      <c r="K151" s="581"/>
      <c r="L151" s="578"/>
      <c r="M151" s="186"/>
      <c r="P151" s="86"/>
      <c r="Q151" s="95"/>
    </row>
    <row r="152" spans="1:17" s="182" customFormat="1" ht="18" customHeight="1">
      <c r="A152" s="580"/>
      <c r="B152" s="592" t="s">
        <v>400</v>
      </c>
      <c r="C152" s="593"/>
      <c r="D152" s="593"/>
      <c r="E152" s="593"/>
      <c r="F152" s="593"/>
      <c r="G152" s="593"/>
      <c r="H152" s="594" t="s">
        <v>2</v>
      </c>
      <c r="I152" s="596" t="s">
        <v>401</v>
      </c>
      <c r="J152" s="596" t="s">
        <v>402</v>
      </c>
      <c r="K152" s="596" t="s">
        <v>403</v>
      </c>
      <c r="L152" s="578"/>
      <c r="M152" s="186"/>
      <c r="P152" s="86"/>
      <c r="Q152" s="95"/>
    </row>
    <row r="153" spans="1:17" s="182" customFormat="1" ht="18" customHeight="1">
      <c r="A153" s="314"/>
      <c r="B153" s="600" t="s">
        <v>392</v>
      </c>
      <c r="C153" s="601"/>
      <c r="D153" s="601"/>
      <c r="E153" s="601"/>
      <c r="F153" s="601"/>
      <c r="G153" s="601"/>
      <c r="H153" s="582" t="s">
        <v>394</v>
      </c>
      <c r="I153" s="675">
        <v>4.5</v>
      </c>
      <c r="J153" s="603">
        <v>1.31</v>
      </c>
      <c r="K153" s="603">
        <f>I153*J153</f>
        <v>5.8950000000000005</v>
      </c>
      <c r="L153" s="578"/>
      <c r="M153" s="186"/>
      <c r="P153" s="86"/>
      <c r="Q153" s="95"/>
    </row>
    <row r="154" spans="1:17" s="182" customFormat="1" ht="18" customHeight="1">
      <c r="A154" s="314"/>
      <c r="B154" s="583" t="s">
        <v>393</v>
      </c>
      <c r="C154" s="576"/>
      <c r="D154" s="576"/>
      <c r="E154" s="576"/>
      <c r="F154" s="576"/>
      <c r="G154" s="576"/>
      <c r="H154" s="589" t="s">
        <v>12</v>
      </c>
      <c r="I154" s="676">
        <v>1.05</v>
      </c>
      <c r="J154" s="604">
        <v>18.75</v>
      </c>
      <c r="K154" s="604">
        <f>I154*J154</f>
        <v>19.6875</v>
      </c>
      <c r="L154" s="578"/>
      <c r="M154" s="186"/>
      <c r="P154" s="86"/>
      <c r="Q154" s="95"/>
    </row>
    <row r="155" spans="1:17" s="182" customFormat="1" ht="18" customHeight="1">
      <c r="A155" s="314"/>
      <c r="B155" s="600" t="s">
        <v>395</v>
      </c>
      <c r="C155" s="601"/>
      <c r="D155" s="601"/>
      <c r="E155" s="601"/>
      <c r="F155" s="601"/>
      <c r="G155" s="601"/>
      <c r="H155" s="582" t="s">
        <v>397</v>
      </c>
      <c r="I155" s="677">
        <v>0.8627451</v>
      </c>
      <c r="J155" s="603">
        <v>20.67</v>
      </c>
      <c r="K155" s="603">
        <f>I155*J155</f>
        <v>17.832941217000002</v>
      </c>
      <c r="L155" s="578"/>
      <c r="M155" s="186"/>
      <c r="P155" s="86"/>
      <c r="Q155" s="95"/>
    </row>
    <row r="156" spans="1:17" s="182" customFormat="1" ht="18" customHeight="1">
      <c r="A156" s="314"/>
      <c r="B156" s="583" t="s">
        <v>396</v>
      </c>
      <c r="C156" s="576"/>
      <c r="D156" s="576"/>
      <c r="E156" s="576"/>
      <c r="F156" s="576"/>
      <c r="G156" s="576"/>
      <c r="H156" s="589" t="s">
        <v>397</v>
      </c>
      <c r="I156" s="676">
        <v>0.4313725</v>
      </c>
      <c r="J156" s="604">
        <v>14.76</v>
      </c>
      <c r="K156" s="604">
        <f>I156*J156</f>
        <v>6.3670580999999995</v>
      </c>
      <c r="L156" s="578"/>
      <c r="M156" s="186"/>
      <c r="P156" s="86"/>
      <c r="Q156" s="95"/>
    </row>
    <row r="157" spans="1:17" s="182" customFormat="1" ht="18" customHeight="1">
      <c r="A157" s="314"/>
      <c r="B157" s="597" t="s">
        <v>398</v>
      </c>
      <c r="C157" s="598"/>
      <c r="D157" s="598"/>
      <c r="E157" s="598"/>
      <c r="F157" s="598"/>
      <c r="G157" s="598"/>
      <c r="H157" s="598"/>
      <c r="I157" s="678"/>
      <c r="J157" s="599"/>
      <c r="K157" s="605">
        <f>SUM(K153:K156)</f>
        <v>49.782499317</v>
      </c>
      <c r="L157" s="578"/>
      <c r="M157" s="186"/>
      <c r="P157" s="86"/>
      <c r="Q157" s="95"/>
    </row>
    <row r="158" spans="1:17" s="182" customFormat="1" ht="4.5" customHeight="1">
      <c r="A158" s="314"/>
      <c r="B158" s="585"/>
      <c r="C158" s="586"/>
      <c r="D158" s="586"/>
      <c r="E158" s="586"/>
      <c r="F158" s="586"/>
      <c r="G158" s="586"/>
      <c r="H158" s="586"/>
      <c r="I158" s="679"/>
      <c r="J158" s="591"/>
      <c r="K158" s="606"/>
      <c r="L158" s="578"/>
      <c r="M158" s="186"/>
      <c r="P158" s="86"/>
      <c r="Q158" s="95"/>
    </row>
    <row r="159" spans="1:17" s="182" customFormat="1" ht="18" customHeight="1">
      <c r="A159" s="314"/>
      <c r="B159" s="597" t="s">
        <v>335</v>
      </c>
      <c r="C159" s="598"/>
      <c r="D159" s="598"/>
      <c r="E159" s="598"/>
      <c r="F159" s="598"/>
      <c r="G159" s="598"/>
      <c r="H159" s="598"/>
      <c r="I159" s="678"/>
      <c r="J159" s="599"/>
      <c r="K159" s="605">
        <v>0</v>
      </c>
      <c r="L159" s="578"/>
      <c r="M159" s="186"/>
      <c r="P159" s="86"/>
      <c r="Q159" s="95"/>
    </row>
    <row r="160" spans="1:17" s="182" customFormat="1" ht="4.5" customHeight="1">
      <c r="A160" s="314"/>
      <c r="B160" s="585"/>
      <c r="C160" s="586"/>
      <c r="D160" s="586"/>
      <c r="E160" s="586"/>
      <c r="F160" s="586"/>
      <c r="G160" s="586"/>
      <c r="H160" s="586"/>
      <c r="I160" s="679"/>
      <c r="J160" s="591"/>
      <c r="K160" s="606"/>
      <c r="L160" s="578"/>
      <c r="M160" s="186"/>
      <c r="P160" s="86"/>
      <c r="Q160" s="95"/>
    </row>
    <row r="161" spans="1:17" s="182" customFormat="1" ht="18" customHeight="1">
      <c r="A161" s="314"/>
      <c r="B161" s="600" t="s">
        <v>399</v>
      </c>
      <c r="C161" s="601"/>
      <c r="D161" s="601"/>
      <c r="E161" s="601"/>
      <c r="F161" s="601"/>
      <c r="G161" s="601"/>
      <c r="H161" s="601"/>
      <c r="I161" s="677"/>
      <c r="J161" s="647"/>
      <c r="K161" s="648">
        <f>K157</f>
        <v>49.782499317</v>
      </c>
      <c r="L161" s="578"/>
      <c r="M161" s="186"/>
      <c r="P161" s="86"/>
      <c r="Q161" s="95"/>
    </row>
    <row r="162" spans="1:17" s="182" customFormat="1" ht="18" customHeight="1">
      <c r="A162" s="314"/>
      <c r="B162" s="576"/>
      <c r="C162" s="576"/>
      <c r="D162" s="576"/>
      <c r="E162" s="576"/>
      <c r="F162" s="576"/>
      <c r="G162" s="576"/>
      <c r="H162" s="576"/>
      <c r="I162" s="576"/>
      <c r="J162" s="577"/>
      <c r="K162" s="577"/>
      <c r="L162" s="578"/>
      <c r="M162" s="186"/>
      <c r="P162" s="86"/>
      <c r="Q162" s="95"/>
    </row>
    <row r="163" spans="1:17" ht="18" customHeight="1" hidden="1" thickBot="1">
      <c r="A163" s="898" t="s">
        <v>370</v>
      </c>
      <c r="B163" s="899"/>
      <c r="C163" s="899"/>
      <c r="D163" s="899"/>
      <c r="E163" s="899"/>
      <c r="F163" s="899"/>
      <c r="G163" s="899"/>
      <c r="H163" s="899"/>
      <c r="I163" s="900"/>
      <c r="J163" s="901">
        <f>K78+L144+0.01</f>
        <v>545811.065478102</v>
      </c>
      <c r="K163" s="902"/>
      <c r="L163" s="903"/>
      <c r="M163" s="186">
        <f>J163+K163</f>
        <v>545811.065478102</v>
      </c>
      <c r="P163" s="569"/>
      <c r="Q163" s="570"/>
    </row>
    <row r="164" spans="1:17" ht="18" customHeight="1">
      <c r="A164" s="314"/>
      <c r="B164" s="315"/>
      <c r="C164" s="315"/>
      <c r="D164" s="315"/>
      <c r="E164" s="315"/>
      <c r="F164" s="315"/>
      <c r="G164" s="315"/>
      <c r="H164" s="575"/>
      <c r="I164" s="315"/>
      <c r="J164" s="551"/>
      <c r="K164" s="551"/>
      <c r="L164" s="552"/>
      <c r="M164" s="186"/>
      <c r="P164" s="86"/>
      <c r="Q164" s="95"/>
    </row>
    <row r="165" spans="1:17" ht="12.75">
      <c r="A165" s="895" t="s">
        <v>241</v>
      </c>
      <c r="B165" s="896"/>
      <c r="C165" s="896"/>
      <c r="D165" s="896"/>
      <c r="E165" s="896"/>
      <c r="F165" s="896"/>
      <c r="G165" s="896"/>
      <c r="H165" s="896"/>
      <c r="I165" s="896"/>
      <c r="J165" s="896"/>
      <c r="K165" s="896"/>
      <c r="L165" s="897"/>
      <c r="P165" s="86"/>
      <c r="Q165" s="95"/>
    </row>
    <row r="166" spans="1:17" ht="12.75">
      <c r="A166" s="895" t="s">
        <v>246</v>
      </c>
      <c r="B166" s="896"/>
      <c r="C166" s="896"/>
      <c r="D166" s="896"/>
      <c r="E166" s="896"/>
      <c r="F166" s="896"/>
      <c r="G166" s="896"/>
      <c r="H166" s="896"/>
      <c r="I166" s="896"/>
      <c r="J166" s="896"/>
      <c r="K166" s="896"/>
      <c r="L166" s="897"/>
      <c r="P166" s="86"/>
      <c r="Q166" s="95"/>
    </row>
    <row r="167" spans="1:17" ht="12.7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5"/>
      <c r="P167" s="86"/>
      <c r="Q167" s="95"/>
    </row>
    <row r="168" spans="1:17" ht="12.7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5"/>
      <c r="P168" s="86"/>
      <c r="Q168" s="95"/>
    </row>
    <row r="169" spans="1:12" ht="12.75">
      <c r="A169" s="13"/>
      <c r="B169" s="14"/>
      <c r="C169" s="14"/>
      <c r="D169" s="14"/>
      <c r="E169" s="14"/>
      <c r="F169" s="14"/>
      <c r="G169" s="14"/>
      <c r="H169" s="160"/>
      <c r="I169" s="14"/>
      <c r="J169" s="14"/>
      <c r="K169" s="14"/>
      <c r="L169" s="15"/>
    </row>
    <row r="170" spans="1:17" s="182" customFormat="1" ht="11.25">
      <c r="A170" s="13"/>
      <c r="B170" s="96"/>
      <c r="C170" s="96"/>
      <c r="D170" s="14"/>
      <c r="E170" s="14"/>
      <c r="F170" s="14"/>
      <c r="G170" s="14"/>
      <c r="H170" s="160"/>
      <c r="I170" s="14"/>
      <c r="J170" s="14"/>
      <c r="K170" s="14"/>
      <c r="L170" s="15"/>
      <c r="P170" s="76"/>
      <c r="Q170" s="91"/>
    </row>
    <row r="171" spans="1:17" s="182" customFormat="1" ht="12.75" customHeight="1">
      <c r="A171" s="183"/>
      <c r="B171" s="881" t="s">
        <v>436</v>
      </c>
      <c r="C171" s="881"/>
      <c r="D171" s="184"/>
      <c r="E171" s="881" t="s">
        <v>435</v>
      </c>
      <c r="F171" s="881"/>
      <c r="G171" s="881"/>
      <c r="H171" s="881"/>
      <c r="I171" s="5"/>
      <c r="J171" s="5"/>
      <c r="K171" s="5"/>
      <c r="L171" s="185"/>
      <c r="P171" s="76"/>
      <c r="Q171" s="91"/>
    </row>
    <row r="172" spans="1:18" s="182" customFormat="1" ht="11.25">
      <c r="A172" s="183"/>
      <c r="B172" s="881" t="s">
        <v>439</v>
      </c>
      <c r="C172" s="881"/>
      <c r="D172" s="184"/>
      <c r="E172" s="881"/>
      <c r="F172" s="881"/>
      <c r="G172" s="881"/>
      <c r="H172" s="881"/>
      <c r="I172" s="5"/>
      <c r="J172" s="5"/>
      <c r="K172" s="5"/>
      <c r="L172" s="185"/>
      <c r="P172" s="76"/>
      <c r="Q172" s="91"/>
      <c r="R172" s="186"/>
    </row>
    <row r="173" spans="1:17" s="182" customFormat="1" ht="11.25" hidden="1">
      <c r="A173" s="187"/>
      <c r="B173" s="188"/>
      <c r="C173" s="188"/>
      <c r="D173" s="188"/>
      <c r="E173" s="188"/>
      <c r="F173" s="188"/>
      <c r="G173" s="188"/>
      <c r="H173" s="75"/>
      <c r="I173" s="188"/>
      <c r="J173" s="188"/>
      <c r="K173" s="188"/>
      <c r="L173" s="189"/>
      <c r="P173" s="76"/>
      <c r="Q173" s="91"/>
    </row>
    <row r="174" spans="1:17" s="182" customFormat="1" ht="11.25">
      <c r="A174" s="187"/>
      <c r="B174" s="188"/>
      <c r="C174" s="188"/>
      <c r="D174" s="188"/>
      <c r="E174" s="188"/>
      <c r="F174" s="188"/>
      <c r="G174" s="188"/>
      <c r="H174" s="75"/>
      <c r="I174" s="188"/>
      <c r="J174" s="188"/>
      <c r="K174" s="188"/>
      <c r="L174" s="189"/>
      <c r="P174" s="76"/>
      <c r="Q174" s="91"/>
    </row>
    <row r="175" spans="1:17" s="182" customFormat="1" ht="11.25">
      <c r="A175" s="187"/>
      <c r="B175" s="188"/>
      <c r="C175" s="188"/>
      <c r="D175" s="188"/>
      <c r="E175" s="188"/>
      <c r="F175" s="188"/>
      <c r="G175" s="188"/>
      <c r="H175" s="75"/>
      <c r="I175" s="188"/>
      <c r="J175" s="188"/>
      <c r="K175" s="188"/>
      <c r="L175" s="189"/>
      <c r="P175" s="76"/>
      <c r="Q175" s="91"/>
    </row>
    <row r="176" spans="1:17" s="182" customFormat="1" ht="11.25">
      <c r="A176" s="187"/>
      <c r="B176" s="190"/>
      <c r="C176" s="190"/>
      <c r="D176" s="188"/>
      <c r="E176" s="188"/>
      <c r="F176" s="188"/>
      <c r="G176" s="188"/>
      <c r="H176" s="75"/>
      <c r="I176" s="188"/>
      <c r="J176" s="188"/>
      <c r="K176" s="188"/>
      <c r="L176" s="189"/>
      <c r="P176" s="76"/>
      <c r="Q176" s="91"/>
    </row>
    <row r="177" spans="1:17" s="182" customFormat="1" ht="11.25" customHeight="1">
      <c r="A177" s="183"/>
      <c r="B177" s="881" t="s">
        <v>437</v>
      </c>
      <c r="C177" s="881"/>
      <c r="D177" s="184"/>
      <c r="E177" s="881"/>
      <c r="F177" s="881"/>
      <c r="G177" s="881"/>
      <c r="H177" s="881"/>
      <c r="I177" s="5"/>
      <c r="J177" s="5"/>
      <c r="K177" s="5"/>
      <c r="L177" s="191"/>
      <c r="P177" s="76"/>
      <c r="Q177" s="91"/>
    </row>
    <row r="178" spans="1:17" s="182" customFormat="1" ht="11.25">
      <c r="A178" s="183"/>
      <c r="B178" s="881" t="s">
        <v>438</v>
      </c>
      <c r="C178" s="881"/>
      <c r="D178" s="184"/>
      <c r="E178" s="881"/>
      <c r="F178" s="881"/>
      <c r="G178" s="881"/>
      <c r="H178" s="881"/>
      <c r="I178" s="5"/>
      <c r="J178" s="5"/>
      <c r="K178" s="5"/>
      <c r="L178" s="185"/>
      <c r="P178" s="76"/>
      <c r="Q178" s="91"/>
    </row>
    <row r="179" spans="1:12" ht="13.5" thickBot="1">
      <c r="A179" s="6"/>
      <c r="B179" s="87"/>
      <c r="C179" s="87"/>
      <c r="D179" s="7"/>
      <c r="E179" s="87"/>
      <c r="F179" s="87"/>
      <c r="G179" s="87"/>
      <c r="H179" s="162"/>
      <c r="I179" s="87"/>
      <c r="J179" s="87"/>
      <c r="K179" s="87"/>
      <c r="L179" s="8"/>
    </row>
    <row r="180" spans="1:12" ht="12.75">
      <c r="A180" s="2"/>
      <c r="B180" s="3"/>
      <c r="C180" s="3"/>
      <c r="D180" s="2"/>
      <c r="E180" s="3"/>
      <c r="F180" s="3"/>
      <c r="G180" s="3"/>
      <c r="H180" s="161"/>
      <c r="I180" s="3"/>
      <c r="J180" s="3"/>
      <c r="K180" s="3"/>
      <c r="L180" s="2"/>
    </row>
    <row r="183" spans="4:17" s="182" customFormat="1" ht="11.25">
      <c r="D183" s="505"/>
      <c r="H183" s="63"/>
      <c r="P183" s="76"/>
      <c r="Q183" s="91"/>
    </row>
  </sheetData>
  <sheetProtection/>
  <mergeCells count="34">
    <mergeCell ref="A2:L2"/>
    <mergeCell ref="A3:L3"/>
    <mergeCell ref="A4:L4"/>
    <mergeCell ref="A7:L7"/>
    <mergeCell ref="A8:L8"/>
    <mergeCell ref="A9:L9"/>
    <mergeCell ref="A11:E11"/>
    <mergeCell ref="H11:L11"/>
    <mergeCell ref="A12:E12"/>
    <mergeCell ref="H12:L12"/>
    <mergeCell ref="A13:E13"/>
    <mergeCell ref="H13:L13"/>
    <mergeCell ref="A14:D14"/>
    <mergeCell ref="E14:L14"/>
    <mergeCell ref="A15:D15"/>
    <mergeCell ref="E15:E16"/>
    <mergeCell ref="H15:H16"/>
    <mergeCell ref="A16:D16"/>
    <mergeCell ref="A17:L17"/>
    <mergeCell ref="A78:I78"/>
    <mergeCell ref="A144:I144"/>
    <mergeCell ref="A163:I163"/>
    <mergeCell ref="J163:L163"/>
    <mergeCell ref="B150:K150"/>
    <mergeCell ref="B177:C177"/>
    <mergeCell ref="E177:H177"/>
    <mergeCell ref="B178:C178"/>
    <mergeCell ref="E178:H178"/>
    <mergeCell ref="A165:L165"/>
    <mergeCell ref="A166:L166"/>
    <mergeCell ref="B171:C171"/>
    <mergeCell ref="E171:H171"/>
    <mergeCell ref="B172:C172"/>
    <mergeCell ref="E172:H17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75" zoomScaleNormal="75" zoomScalePageLayoutView="0" workbookViewId="0" topLeftCell="A3">
      <selection activeCell="C38" sqref="C38:C39"/>
    </sheetView>
  </sheetViews>
  <sheetFormatPr defaultColWidth="9.140625" defaultRowHeight="12.75"/>
  <cols>
    <col min="1" max="2" width="10.421875" style="11" customWidth="1"/>
    <col min="3" max="3" width="62.140625" style="11" customWidth="1"/>
    <col min="4" max="4" width="15.57421875" style="17" customWidth="1"/>
    <col min="5" max="5" width="13.57421875" style="17" customWidth="1"/>
    <col min="6" max="6" width="14.57421875" style="11" hidden="1" customWidth="1"/>
    <col min="7" max="11" width="14.57421875" style="11" customWidth="1"/>
    <col min="12" max="12" width="5.28125" style="11" customWidth="1"/>
    <col min="13" max="13" width="19.00390625" style="11" hidden="1" customWidth="1"/>
    <col min="14" max="14" width="13.7109375" style="11" hidden="1" customWidth="1"/>
    <col min="15" max="16" width="0" style="11" hidden="1" customWidth="1"/>
    <col min="17" max="16384" width="9.140625" style="11" customWidth="1"/>
  </cols>
  <sheetData>
    <row r="1" spans="1:11" s="1" customFormat="1" ht="12.75">
      <c r="A1" s="77"/>
      <c r="B1" s="78"/>
      <c r="C1" s="78"/>
      <c r="D1" s="78"/>
      <c r="E1" s="78"/>
      <c r="F1" s="78"/>
      <c r="G1" s="78"/>
      <c r="H1" s="78"/>
      <c r="I1" s="78"/>
      <c r="J1" s="80"/>
      <c r="K1" s="79"/>
    </row>
    <row r="2" spans="1:11" s="1" customFormat="1" ht="23.25">
      <c r="A2" s="917" t="str">
        <f>'PLANILHA NOVA LICITAÇÃO'!A2:L2</f>
        <v>TIMBRADO LICITANTE</v>
      </c>
      <c r="B2" s="918"/>
      <c r="C2" s="918"/>
      <c r="D2" s="918"/>
      <c r="E2" s="918"/>
      <c r="F2" s="918"/>
      <c r="G2" s="918"/>
      <c r="H2" s="918"/>
      <c r="I2" s="918"/>
      <c r="J2" s="918"/>
      <c r="K2" s="919"/>
    </row>
    <row r="3" spans="1:11" s="1" customFormat="1" ht="16.5" customHeight="1">
      <c r="A3" s="885" t="str">
        <f>'PLANILHA NOVA LICITAÇÃO'!A3:L3</f>
        <v>ENDEREÇO COMPLETO</v>
      </c>
      <c r="B3" s="886"/>
      <c r="C3" s="886"/>
      <c r="D3" s="886"/>
      <c r="E3" s="886"/>
      <c r="F3" s="886"/>
      <c r="G3" s="886"/>
      <c r="H3" s="886"/>
      <c r="I3" s="886"/>
      <c r="J3" s="886"/>
      <c r="K3" s="887"/>
    </row>
    <row r="4" spans="1:11" s="1" customFormat="1" ht="16.5" customHeight="1">
      <c r="A4" s="885" t="str">
        <f>'PLANILHA NOVA LICITAÇÃO'!A4:L4</f>
        <v>CNPJ</v>
      </c>
      <c r="B4" s="886"/>
      <c r="C4" s="886"/>
      <c r="D4" s="886"/>
      <c r="E4" s="886"/>
      <c r="F4" s="886"/>
      <c r="G4" s="886"/>
      <c r="H4" s="886"/>
      <c r="I4" s="886"/>
      <c r="J4" s="886"/>
      <c r="K4" s="887"/>
    </row>
    <row r="5" spans="1:14" s="1" customFormat="1" ht="13.5" thickBot="1">
      <c r="A5" s="81"/>
      <c r="B5" s="82"/>
      <c r="C5" s="82"/>
      <c r="D5" s="82"/>
      <c r="E5" s="82"/>
      <c r="F5" s="82"/>
      <c r="G5" s="82"/>
      <c r="H5" s="82"/>
      <c r="I5" s="82"/>
      <c r="J5" s="83"/>
      <c r="K5" s="84"/>
      <c r="N5" s="317">
        <f>SUM(N6:N12)</f>
        <v>52125.499032102</v>
      </c>
    </row>
    <row r="6" ht="1.5" customHeight="1"/>
    <row r="7" spans="1:11" ht="1.5" customHeight="1" thickBot="1">
      <c r="A7" s="16"/>
      <c r="B7" s="16"/>
      <c r="C7" s="16"/>
      <c r="F7" s="17"/>
      <c r="G7" s="17"/>
      <c r="H7" s="17"/>
      <c r="I7" s="16"/>
      <c r="J7" s="16"/>
      <c r="K7" s="16"/>
    </row>
    <row r="8" spans="1:11" ht="16.5" thickBot="1">
      <c r="A8" s="929" t="s">
        <v>54</v>
      </c>
      <c r="B8" s="930"/>
      <c r="C8" s="930"/>
      <c r="D8" s="930"/>
      <c r="E8" s="930"/>
      <c r="F8" s="930"/>
      <c r="G8" s="930"/>
      <c r="H8" s="930"/>
      <c r="I8" s="930"/>
      <c r="J8" s="930"/>
      <c r="K8" s="931"/>
    </row>
    <row r="9" spans="1:11" ht="3.75" customHeight="1" thickBot="1">
      <c r="A9" s="65"/>
      <c r="B9" s="10"/>
      <c r="C9" s="10"/>
      <c r="D9" s="49"/>
      <c r="E9" s="49"/>
      <c r="F9" s="10"/>
      <c r="G9" s="10"/>
      <c r="H9" s="10"/>
      <c r="I9" s="10"/>
      <c r="J9" s="10"/>
      <c r="K9" s="47"/>
    </row>
    <row r="10" spans="1:14" ht="18" customHeight="1" thickBot="1">
      <c r="A10" s="938" t="s">
        <v>137</v>
      </c>
      <c r="B10" s="939"/>
      <c r="C10" s="939"/>
      <c r="D10" s="939"/>
      <c r="E10" s="939"/>
      <c r="F10" s="939"/>
      <c r="G10" s="939"/>
      <c r="H10" s="939"/>
      <c r="I10" s="939"/>
      <c r="J10" s="939"/>
      <c r="K10" s="940"/>
      <c r="M10" s="43" t="s">
        <v>133</v>
      </c>
      <c r="N10" s="163">
        <v>443650</v>
      </c>
    </row>
    <row r="11" spans="1:11" ht="12.75">
      <c r="A11" s="941" t="str">
        <f>'REPROGRAMAÇÃO - AS BUILT'!$A$11</f>
        <v>PROPONENTE: PREFEITURA MUNICIPAL DE SÃO THOMÉ DAS LETRAS-MG</v>
      </c>
      <c r="B11" s="933"/>
      <c r="C11" s="942"/>
      <c r="D11" s="924" t="s">
        <v>441</v>
      </c>
      <c r="E11" s="925"/>
      <c r="F11" s="925"/>
      <c r="G11" s="925"/>
      <c r="H11" s="926"/>
      <c r="I11" s="932" t="str">
        <f>'PLANILHA NOVA LICITAÇÃO'!H13</f>
        <v>DATA: XXXXXXXXXXXX</v>
      </c>
      <c r="J11" s="933"/>
      <c r="K11" s="934"/>
    </row>
    <row r="12" spans="1:14" ht="33" customHeight="1" thickBot="1">
      <c r="A12" s="935" t="str">
        <f>'REPROGRAMAÇÃO - AS BUILT'!A12</f>
        <v>OBJETO: PAVIMENTAÇÃO DE VIAS URBANAS NO MUNICÍPIO DE SÃO THOMÉ DAS LETRAS-MG.</v>
      </c>
      <c r="B12" s="921"/>
      <c r="C12" s="936"/>
      <c r="D12" s="920" t="str">
        <f>'REPROGRAMAÇÃO - AS BUILT'!A13</f>
        <v>LOCAIS: RUA EVARISTO CARDOSO DA SILVA E AV. INTENDENTE TOMÉ MENDES PEIXOTO - CENTRO.</v>
      </c>
      <c r="E12" s="921"/>
      <c r="F12" s="921"/>
      <c r="G12" s="921"/>
      <c r="H12" s="936"/>
      <c r="I12" s="920" t="s">
        <v>425</v>
      </c>
      <c r="J12" s="921"/>
      <c r="K12" s="922"/>
      <c r="M12" s="11" t="s">
        <v>83</v>
      </c>
      <c r="N12" s="28">
        <f>E53-N10</f>
        <v>-391524.500967898</v>
      </c>
    </row>
    <row r="13" spans="1:11" ht="42" customHeight="1">
      <c r="A13" s="18" t="s">
        <v>0</v>
      </c>
      <c r="B13" s="19" t="s">
        <v>3</v>
      </c>
      <c r="C13" s="19" t="s">
        <v>33</v>
      </c>
      <c r="D13" s="20" t="s">
        <v>34</v>
      </c>
      <c r="E13" s="20" t="s">
        <v>35</v>
      </c>
      <c r="F13" s="19" t="s">
        <v>322</v>
      </c>
      <c r="G13" s="19" t="s">
        <v>36</v>
      </c>
      <c r="H13" s="19" t="s">
        <v>37</v>
      </c>
      <c r="I13" s="19" t="s">
        <v>38</v>
      </c>
      <c r="J13" s="19" t="s">
        <v>39</v>
      </c>
      <c r="K13" s="21" t="s">
        <v>40</v>
      </c>
    </row>
    <row r="14" spans="1:11" ht="12.75">
      <c r="A14" s="615"/>
      <c r="B14" s="616"/>
      <c r="C14" s="616"/>
      <c r="D14" s="617"/>
      <c r="E14" s="617"/>
      <c r="F14" s="616"/>
      <c r="G14" s="616"/>
      <c r="H14" s="616"/>
      <c r="I14" s="616"/>
      <c r="J14" s="616"/>
      <c r="K14" s="618"/>
    </row>
    <row r="15" spans="1:11" ht="12.75">
      <c r="A15" s="619"/>
      <c r="B15" s="620"/>
      <c r="C15" s="620"/>
      <c r="D15" s="621"/>
      <c r="E15" s="621"/>
      <c r="F15" s="620"/>
      <c r="G15" s="620"/>
      <c r="H15" s="620"/>
      <c r="I15" s="620"/>
      <c r="J15" s="620"/>
      <c r="K15" s="622"/>
    </row>
    <row r="16" spans="1:11" ht="12.75" hidden="1">
      <c r="A16" s="615"/>
      <c r="B16" s="616"/>
      <c r="C16" s="943" t="s">
        <v>357</v>
      </c>
      <c r="D16" s="617"/>
      <c r="E16" s="617"/>
      <c r="F16" s="616"/>
      <c r="G16" s="616"/>
      <c r="H16" s="616"/>
      <c r="I16" s="616"/>
      <c r="J16" s="616"/>
      <c r="K16" s="618"/>
    </row>
    <row r="17" spans="1:11" ht="12.75" hidden="1">
      <c r="A17" s="619"/>
      <c r="B17" s="620"/>
      <c r="C17" s="944"/>
      <c r="D17" s="621"/>
      <c r="E17" s="621"/>
      <c r="F17" s="620"/>
      <c r="G17" s="620"/>
      <c r="H17" s="620"/>
      <c r="I17" s="620"/>
      <c r="J17" s="620"/>
      <c r="K17" s="622"/>
    </row>
    <row r="18" spans="1:14" ht="14.25" customHeight="1" hidden="1">
      <c r="A18" s="923">
        <f>'REPROGRAMAÇÃO - AS BUILT'!$A$88</f>
        <v>1</v>
      </c>
      <c r="B18" s="927" t="s">
        <v>46</v>
      </c>
      <c r="C18" s="937" t="str">
        <f>'REPROGRAMAÇÃO - AS BUILT'!$C$88</f>
        <v>INSTALAÇÕES INICIAIS</v>
      </c>
      <c r="D18" s="22" t="s">
        <v>41</v>
      </c>
      <c r="E18" s="23">
        <f>E19*100%/E53</f>
        <v>0.01791493640041498</v>
      </c>
      <c r="F18" s="155">
        <v>1</v>
      </c>
      <c r="G18" s="156"/>
      <c r="H18" s="23"/>
      <c r="I18" s="23"/>
      <c r="J18" s="23"/>
      <c r="K18" s="66"/>
      <c r="M18" s="24">
        <f aca="true" t="shared" si="0" ref="M18:M51">SUM(F18:L18)</f>
        <v>1</v>
      </c>
      <c r="N18" s="649">
        <f>E19+E21+E23+E25+E27+E29+E31</f>
        <v>493685.55644599994</v>
      </c>
    </row>
    <row r="19" spans="1:13" ht="14.25" customHeight="1" hidden="1">
      <c r="A19" s="910"/>
      <c r="B19" s="928"/>
      <c r="C19" s="914"/>
      <c r="D19" s="25" t="s">
        <v>42</v>
      </c>
      <c r="E19" s="26">
        <f>'REPROGRAMAÇÃO - AS BUILT'!K22</f>
        <v>933.8249999999999</v>
      </c>
      <c r="F19" s="27">
        <f aca="true" t="shared" si="1" ref="F19:K19">F18*$E$19</f>
        <v>933.8249999999999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67">
        <f t="shared" si="1"/>
        <v>0</v>
      </c>
      <c r="M19" s="28">
        <f t="shared" si="0"/>
        <v>933.8249999999999</v>
      </c>
    </row>
    <row r="20" spans="1:13" ht="14.25" customHeight="1" hidden="1">
      <c r="A20" s="909">
        <f>'REPROGRAMAÇÃO - AS BUILT'!$A$91</f>
        <v>2</v>
      </c>
      <c r="B20" s="911" t="s">
        <v>46</v>
      </c>
      <c r="C20" s="913" t="str">
        <f>'REPROGRAMAÇÃO - AS BUILT'!$C$91</f>
        <v>DRENAGEM PLUVIAL</v>
      </c>
      <c r="D20" s="25" t="s">
        <v>41</v>
      </c>
      <c r="E20" s="23">
        <f>E21*100%/E53</f>
        <v>2.9559132221469815</v>
      </c>
      <c r="F20" s="155">
        <v>1</v>
      </c>
      <c r="G20" s="23"/>
      <c r="H20" s="23"/>
      <c r="I20" s="23"/>
      <c r="J20" s="23"/>
      <c r="K20" s="66"/>
      <c r="M20" s="24">
        <f t="shared" si="0"/>
        <v>1</v>
      </c>
    </row>
    <row r="21" spans="1:13" ht="14.25" customHeight="1" hidden="1">
      <c r="A21" s="910"/>
      <c r="B21" s="912"/>
      <c r="C21" s="914"/>
      <c r="D21" s="25" t="s">
        <v>42</v>
      </c>
      <c r="E21" s="26">
        <f>'REPROGRAMAÇÃO - AS BUILT'!K25+0.01</f>
        <v>154078.4518</v>
      </c>
      <c r="F21" s="27">
        <f aca="true" t="shared" si="2" ref="F21:K21">F20*$E$21</f>
        <v>154078.4518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t="shared" si="2"/>
        <v>0</v>
      </c>
      <c r="K21" s="67">
        <f t="shared" si="2"/>
        <v>0</v>
      </c>
      <c r="M21" s="28">
        <f t="shared" si="0"/>
        <v>154078.4518</v>
      </c>
    </row>
    <row r="22" spans="1:13" ht="14.25" customHeight="1" hidden="1">
      <c r="A22" s="909">
        <f>'REPROGRAMAÇÃO - AS BUILT'!$A$106</f>
        <v>3</v>
      </c>
      <c r="B22" s="911" t="s">
        <v>46</v>
      </c>
      <c r="C22" s="913" t="str">
        <f>'REPROGRAMAÇÃO - AS BUILT'!$C$106</f>
        <v>PAVIMENTAÇÃO EM CBUQ</v>
      </c>
      <c r="D22" s="25" t="s">
        <v>41</v>
      </c>
      <c r="E22" s="23">
        <f>E23*100%/E53</f>
        <v>6.03837814398968</v>
      </c>
      <c r="F22" s="155">
        <v>1</v>
      </c>
      <c r="G22" s="23"/>
      <c r="H22" s="23"/>
      <c r="I22" s="23"/>
      <c r="J22" s="23"/>
      <c r="K22" s="66"/>
      <c r="M22" s="24">
        <f t="shared" si="0"/>
        <v>1</v>
      </c>
    </row>
    <row r="23" spans="1:13" ht="14.25" customHeight="1" hidden="1">
      <c r="A23" s="910"/>
      <c r="B23" s="912"/>
      <c r="C23" s="914"/>
      <c r="D23" s="25" t="s">
        <v>42</v>
      </c>
      <c r="E23" s="26">
        <f>'REPROGRAMAÇÃO - AS BUILT'!K39</f>
        <v>314753.4741</v>
      </c>
      <c r="F23" s="27">
        <f>F22*$E$23</f>
        <v>314753.4741</v>
      </c>
      <c r="G23" s="27">
        <f>H23/2</f>
        <v>0</v>
      </c>
      <c r="H23" s="27">
        <f>H22*$E$23</f>
        <v>0</v>
      </c>
      <c r="I23" s="27">
        <f>H22*$E$23</f>
        <v>0</v>
      </c>
      <c r="J23" s="27">
        <f>I23</f>
        <v>0</v>
      </c>
      <c r="K23" s="67">
        <f>G23</f>
        <v>0</v>
      </c>
      <c r="M23" s="28">
        <f t="shared" si="0"/>
        <v>314753.4741</v>
      </c>
    </row>
    <row r="24" spans="1:13" ht="14.25" customHeight="1" hidden="1">
      <c r="A24" s="909">
        <f>'REPROGRAMAÇÃO - AS BUILT'!$A$120</f>
        <v>4</v>
      </c>
      <c r="B24" s="911" t="s">
        <v>46</v>
      </c>
      <c r="C24" s="913" t="str">
        <f>'REPROGRAMAÇÃO - AS BUILT'!$C$120</f>
        <v>URBANIZAÇÃO E OBRAS COMPLEMENTARES</v>
      </c>
      <c r="D24" s="25" t="s">
        <v>41</v>
      </c>
      <c r="E24" s="23">
        <f>E25*100%/E53</f>
        <v>0.447577925951977</v>
      </c>
      <c r="F24" s="155">
        <v>1</v>
      </c>
      <c r="G24" s="23"/>
      <c r="H24" s="23"/>
      <c r="I24" s="23"/>
      <c r="J24" s="23"/>
      <c r="K24" s="66"/>
      <c r="M24" s="24">
        <f t="shared" si="0"/>
        <v>1</v>
      </c>
    </row>
    <row r="25" spans="1:13" ht="14.25" customHeight="1" hidden="1">
      <c r="A25" s="910"/>
      <c r="B25" s="912"/>
      <c r="C25" s="914"/>
      <c r="D25" s="25" t="s">
        <v>42</v>
      </c>
      <c r="E25" s="26">
        <f>'REPROGRAMAÇÃO - AS BUILT'!K53</f>
        <v>23330.222746</v>
      </c>
      <c r="F25" s="27">
        <f aca="true" t="shared" si="3" ref="F25:K25">F24*$E$25</f>
        <v>23330.222746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67">
        <f t="shared" si="3"/>
        <v>0</v>
      </c>
      <c r="M25" s="28">
        <f t="shared" si="0"/>
        <v>23330.222746</v>
      </c>
    </row>
    <row r="26" spans="1:13" ht="14.25" customHeight="1" hidden="1">
      <c r="A26" s="909">
        <f>'REPROGRAMAÇÃO - AS BUILT'!A125</f>
        <v>5</v>
      </c>
      <c r="B26" s="911" t="s">
        <v>46</v>
      </c>
      <c r="C26" s="913" t="str">
        <f>'REPROGRAMAÇÃO - AS BUILT'!C125</f>
        <v>SINALIZAÇÃO URBANA</v>
      </c>
      <c r="D26" s="25" t="s">
        <v>41</v>
      </c>
      <c r="E26" s="23">
        <f>E27*100%/E53</f>
        <v>0</v>
      </c>
      <c r="F26" s="155">
        <v>0</v>
      </c>
      <c r="G26" s="23"/>
      <c r="H26" s="23"/>
      <c r="I26" s="23"/>
      <c r="J26" s="23"/>
      <c r="K26" s="66"/>
      <c r="M26" s="24">
        <f t="shared" si="0"/>
        <v>0</v>
      </c>
    </row>
    <row r="27" spans="1:13" ht="14.25" customHeight="1" hidden="1">
      <c r="A27" s="910"/>
      <c r="B27" s="912"/>
      <c r="C27" s="914"/>
      <c r="D27" s="25" t="s">
        <v>42</v>
      </c>
      <c r="E27" s="26">
        <f>'REPROGRAMAÇÃO - AS BUILT'!K58</f>
        <v>0</v>
      </c>
      <c r="F27" s="27">
        <f aca="true" t="shared" si="4" ref="F27:K27">F26*$E$27</f>
        <v>0</v>
      </c>
      <c r="G27" s="27">
        <f t="shared" si="4"/>
        <v>0</v>
      </c>
      <c r="H27" s="27">
        <f t="shared" si="4"/>
        <v>0</v>
      </c>
      <c r="I27" s="27">
        <f t="shared" si="4"/>
        <v>0</v>
      </c>
      <c r="J27" s="27">
        <f t="shared" si="4"/>
        <v>0</v>
      </c>
      <c r="K27" s="67">
        <f t="shared" si="4"/>
        <v>0</v>
      </c>
      <c r="M27" s="28">
        <f t="shared" si="0"/>
        <v>0</v>
      </c>
    </row>
    <row r="28" spans="1:13" ht="14.25" customHeight="1" hidden="1">
      <c r="A28" s="909">
        <f>'REPROGRAMAÇÃO - AS BUILT'!A133</f>
        <v>6</v>
      </c>
      <c r="B28" s="911" t="s">
        <v>46</v>
      </c>
      <c r="C28" s="913" t="str">
        <f>'REPROGRAMAÇÃO - AS BUILT'!C133</f>
        <v>INTENVERÇÃO NOS CANTEIROS CENTRAIS</v>
      </c>
      <c r="D28" s="25" t="s">
        <v>41</v>
      </c>
      <c r="E28" s="23">
        <f>E29*100%/E53</f>
        <v>0.011310832720026328</v>
      </c>
      <c r="F28" s="155">
        <v>1</v>
      </c>
      <c r="G28" s="23"/>
      <c r="H28" s="23"/>
      <c r="I28" s="23"/>
      <c r="J28" s="23"/>
      <c r="K28" s="66"/>
      <c r="M28" s="24">
        <f t="shared" si="0"/>
        <v>1</v>
      </c>
    </row>
    <row r="29" spans="1:13" ht="14.25" customHeight="1" hidden="1">
      <c r="A29" s="910"/>
      <c r="B29" s="912"/>
      <c r="C29" s="914"/>
      <c r="D29" s="25" t="s">
        <v>42</v>
      </c>
      <c r="E29" s="26">
        <f>'REPROGRAMAÇÃO - AS BUILT'!K66</f>
        <v>589.5828000000001</v>
      </c>
      <c r="F29" s="27">
        <f aca="true" t="shared" si="5" ref="F29:K29">F28*$E$29</f>
        <v>589.5828000000001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67">
        <f t="shared" si="5"/>
        <v>0</v>
      </c>
      <c r="M29" s="28">
        <f t="shared" si="0"/>
        <v>589.5828000000001</v>
      </c>
    </row>
    <row r="30" spans="1:13" ht="14.25" customHeight="1" hidden="1">
      <c r="A30" s="909">
        <f>'REPROGRAMAÇÃO - AS BUILT'!A141</f>
        <v>7</v>
      </c>
      <c r="B30" s="911" t="s">
        <v>46</v>
      </c>
      <c r="C30" s="915" t="str">
        <f>'REPROGRAMAÇÃO - AS BUILT'!C141</f>
        <v>LIMPEZA GERAL</v>
      </c>
      <c r="D30" s="25" t="s">
        <v>41</v>
      </c>
      <c r="E30" s="23">
        <f>E31*100%/E53</f>
        <v>0</v>
      </c>
      <c r="F30" s="155">
        <f>' ÚLTIMA MEDIÇÃO - BM Nº5'!BV74%</f>
        <v>0</v>
      </c>
      <c r="G30" s="23"/>
      <c r="H30" s="23"/>
      <c r="I30" s="23"/>
      <c r="J30" s="23"/>
      <c r="K30" s="66"/>
      <c r="M30" s="24">
        <f t="shared" si="0"/>
        <v>0</v>
      </c>
    </row>
    <row r="31" spans="1:13" ht="14.25" customHeight="1" hidden="1">
      <c r="A31" s="910"/>
      <c r="B31" s="912"/>
      <c r="C31" s="916"/>
      <c r="D31" s="25" t="s">
        <v>42</v>
      </c>
      <c r="E31" s="26">
        <f>'REPROGRAMAÇÃO - AS BUILT'!K74</f>
        <v>0</v>
      </c>
      <c r="F31" s="27">
        <f aca="true" t="shared" si="6" ref="F31:K31">F30*$E$31</f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0</v>
      </c>
      <c r="K31" s="67">
        <f t="shared" si="6"/>
        <v>0</v>
      </c>
      <c r="M31" s="28">
        <f t="shared" si="0"/>
        <v>0</v>
      </c>
    </row>
    <row r="32" spans="1:13" ht="14.25" customHeight="1" hidden="1">
      <c r="A32" s="614"/>
      <c r="B32" s="608"/>
      <c r="C32" s="609"/>
      <c r="D32" s="25"/>
      <c r="E32" s="610"/>
      <c r="F32" s="611"/>
      <c r="G32" s="611"/>
      <c r="H32" s="611"/>
      <c r="I32" s="611"/>
      <c r="J32" s="611"/>
      <c r="K32" s="612"/>
      <c r="M32" s="28"/>
    </row>
    <row r="33" spans="1:13" ht="14.25" customHeight="1" hidden="1">
      <c r="A33" s="623"/>
      <c r="B33" s="624"/>
      <c r="C33" s="625"/>
      <c r="D33" s="613"/>
      <c r="E33" s="626"/>
      <c r="F33" s="627"/>
      <c r="G33" s="627"/>
      <c r="H33" s="627"/>
      <c r="I33" s="627"/>
      <c r="J33" s="627"/>
      <c r="K33" s="628"/>
      <c r="M33" s="28"/>
    </row>
    <row r="34" spans="1:14" ht="14.25" customHeight="1">
      <c r="A34" s="960"/>
      <c r="B34" s="961"/>
      <c r="C34" s="943" t="s">
        <v>358</v>
      </c>
      <c r="D34" s="22"/>
      <c r="E34" s="23"/>
      <c r="F34" s="23"/>
      <c r="G34" s="23"/>
      <c r="H34" s="23"/>
      <c r="I34" s="23"/>
      <c r="J34" s="23"/>
      <c r="K34" s="66"/>
      <c r="M34" s="24">
        <f t="shared" si="0"/>
        <v>0</v>
      </c>
      <c r="N34" s="24"/>
    </row>
    <row r="35" spans="1:13" ht="14.25" customHeight="1">
      <c r="A35" s="958"/>
      <c r="B35" s="912"/>
      <c r="C35" s="944"/>
      <c r="D35" s="25"/>
      <c r="E35" s="26"/>
      <c r="F35" s="27"/>
      <c r="G35" s="27"/>
      <c r="H35" s="27"/>
      <c r="I35" s="27"/>
      <c r="J35" s="27"/>
      <c r="K35" s="67"/>
      <c r="M35" s="28">
        <f t="shared" si="0"/>
        <v>0</v>
      </c>
    </row>
    <row r="36" spans="1:14" ht="14.25" customHeight="1">
      <c r="A36" s="909">
        <v>1</v>
      </c>
      <c r="B36" s="911" t="s">
        <v>46</v>
      </c>
      <c r="C36" s="913" t="str">
        <f>'REPROGRAMAÇÃO - AS BUILT'!C91</f>
        <v>DRENAGEM PLUVIAL</v>
      </c>
      <c r="D36" s="22" t="s">
        <v>41</v>
      </c>
      <c r="E36" s="23">
        <f>E37*100%/E53</f>
        <v>0.2108524303859655</v>
      </c>
      <c r="F36" s="155">
        <f>' ÚLTIMA MEDIÇÃO - BM Nº5'!BV41%</f>
        <v>0</v>
      </c>
      <c r="G36" s="23">
        <v>0.5</v>
      </c>
      <c r="H36" s="23">
        <v>0.5</v>
      </c>
      <c r="I36" s="23"/>
      <c r="J36" s="23"/>
      <c r="K36" s="66"/>
      <c r="M36" s="24">
        <f aca="true" t="shared" si="7" ref="M36:M45">SUM(F36:L36)</f>
        <v>1</v>
      </c>
      <c r="N36" s="649">
        <f>E37+E39+E41+E43+E45</f>
        <v>52125.49903210201</v>
      </c>
    </row>
    <row r="37" spans="1:13" ht="14.25" customHeight="1">
      <c r="A37" s="910"/>
      <c r="B37" s="912"/>
      <c r="C37" s="914"/>
      <c r="D37" s="25" t="s">
        <v>42</v>
      </c>
      <c r="E37" s="26">
        <f>'PLANILHA NOVA LICITAÇÃO'!L91</f>
        <v>10990.788156</v>
      </c>
      <c r="F37" s="27">
        <f aca="true" t="shared" si="8" ref="F37:K37">F36*$E$37</f>
        <v>0</v>
      </c>
      <c r="G37" s="27">
        <f t="shared" si="8"/>
        <v>5495.394078</v>
      </c>
      <c r="H37" s="27">
        <f t="shared" si="8"/>
        <v>5495.394078</v>
      </c>
      <c r="I37" s="27">
        <f t="shared" si="8"/>
        <v>0</v>
      </c>
      <c r="J37" s="27">
        <f t="shared" si="8"/>
        <v>0</v>
      </c>
      <c r="K37" s="67">
        <f t="shared" si="8"/>
        <v>0</v>
      </c>
      <c r="M37" s="28">
        <f t="shared" si="7"/>
        <v>10990.788156</v>
      </c>
    </row>
    <row r="38" spans="1:13" ht="14.25" customHeight="1">
      <c r="A38" s="909">
        <v>2</v>
      </c>
      <c r="B38" s="911" t="s">
        <v>46</v>
      </c>
      <c r="C38" s="913" t="str">
        <f>'REPROGRAMAÇÃO - AS BUILT'!C120</f>
        <v>URBANIZAÇÃO E OBRAS COMPLEMENTARES</v>
      </c>
      <c r="D38" s="25" t="s">
        <v>41</v>
      </c>
      <c r="E38" s="23">
        <f>E39*100%/E53</f>
        <v>0.6205674238357036</v>
      </c>
      <c r="F38" s="155">
        <f>' ÚLTIMA MEDIÇÃO - BM Nº5'!BV69%</f>
        <v>0</v>
      </c>
      <c r="G38" s="23">
        <v>0.5</v>
      </c>
      <c r="H38" s="23">
        <v>0.5</v>
      </c>
      <c r="I38" s="23"/>
      <c r="J38" s="23"/>
      <c r="K38" s="66"/>
      <c r="M38" s="24">
        <f t="shared" si="7"/>
        <v>1</v>
      </c>
    </row>
    <row r="39" spans="1:13" ht="14.25" customHeight="1">
      <c r="A39" s="910"/>
      <c r="B39" s="912"/>
      <c r="C39" s="914"/>
      <c r="D39" s="25" t="s">
        <v>42</v>
      </c>
      <c r="E39" s="26">
        <f>'PLANILHA NOVA LICITAÇÃO'!L120</f>
        <v>32347.386650502005</v>
      </c>
      <c r="F39" s="27">
        <f aca="true" t="shared" si="9" ref="F39:K39">F38*$E$39</f>
        <v>0</v>
      </c>
      <c r="G39" s="27">
        <f t="shared" si="9"/>
        <v>16173.693325251003</v>
      </c>
      <c r="H39" s="27">
        <f t="shared" si="9"/>
        <v>16173.693325251003</v>
      </c>
      <c r="I39" s="27">
        <f t="shared" si="9"/>
        <v>0</v>
      </c>
      <c r="J39" s="27">
        <f t="shared" si="9"/>
        <v>0</v>
      </c>
      <c r="K39" s="67">
        <f t="shared" si="9"/>
        <v>0</v>
      </c>
      <c r="M39" s="28">
        <f t="shared" si="7"/>
        <v>32347.386650502005</v>
      </c>
    </row>
    <row r="40" spans="1:13" ht="14.25" customHeight="1">
      <c r="A40" s="909">
        <v>3</v>
      </c>
      <c r="B40" s="911" t="s">
        <v>46</v>
      </c>
      <c r="C40" s="913" t="str">
        <f>'REPROGRAMAÇÃO - AS BUILT'!C125</f>
        <v>SINALIZAÇÃO URBANA</v>
      </c>
      <c r="D40" s="25" t="s">
        <v>41</v>
      </c>
      <c r="E40" s="23">
        <f>E41*100%/E53</f>
        <v>0.15076583374521008</v>
      </c>
      <c r="F40" s="155">
        <f>' ÚLTIMA MEDIÇÃO - BM Nº5'!BV74%</f>
        <v>0</v>
      </c>
      <c r="G40" s="23">
        <v>0.5</v>
      </c>
      <c r="H40" s="23">
        <v>0.5</v>
      </c>
      <c r="I40" s="23"/>
      <c r="J40" s="23"/>
      <c r="K40" s="66"/>
      <c r="M40" s="24">
        <f t="shared" si="7"/>
        <v>1</v>
      </c>
    </row>
    <row r="41" spans="1:13" ht="14.25" customHeight="1">
      <c r="A41" s="910"/>
      <c r="B41" s="912"/>
      <c r="C41" s="914"/>
      <c r="D41" s="25" t="s">
        <v>42</v>
      </c>
      <c r="E41" s="26">
        <f>'PLANILHA NOVA LICITAÇÃO'!L125</f>
        <v>7858.744320960001</v>
      </c>
      <c r="F41" s="27">
        <f aca="true" t="shared" si="10" ref="F41:K41">F40*$E$41</f>
        <v>0</v>
      </c>
      <c r="G41" s="27">
        <f t="shared" si="10"/>
        <v>3929.3721604800003</v>
      </c>
      <c r="H41" s="27">
        <f t="shared" si="10"/>
        <v>3929.3721604800003</v>
      </c>
      <c r="I41" s="27">
        <f t="shared" si="10"/>
        <v>0</v>
      </c>
      <c r="J41" s="27">
        <f t="shared" si="10"/>
        <v>0</v>
      </c>
      <c r="K41" s="67">
        <f t="shared" si="10"/>
        <v>0</v>
      </c>
      <c r="M41" s="28">
        <f t="shared" si="7"/>
        <v>7858.744320960001</v>
      </c>
    </row>
    <row r="42" spans="1:13" ht="14.25" customHeight="1">
      <c r="A42" s="909">
        <v>4</v>
      </c>
      <c r="B42" s="911" t="s">
        <v>46</v>
      </c>
      <c r="C42" s="913" t="str">
        <f>'REPROGRAMAÇÃO - AS BUILT'!C133</f>
        <v>INTENVERÇÃO NOS CANTEIROS CENTRAIS</v>
      </c>
      <c r="D42" s="25" t="s">
        <v>41</v>
      </c>
      <c r="E42" s="23">
        <f>E43*100%/E53</f>
        <v>0.017814312033120776</v>
      </c>
      <c r="F42" s="155">
        <f>' ÚLTIMA MEDIÇÃO - BM Nº5'!BV82%</f>
        <v>0</v>
      </c>
      <c r="G42" s="23">
        <v>0.5</v>
      </c>
      <c r="H42" s="23">
        <v>0.5</v>
      </c>
      <c r="I42" s="23"/>
      <c r="J42" s="23"/>
      <c r="K42" s="66"/>
      <c r="M42" s="24">
        <f t="shared" si="7"/>
        <v>1</v>
      </c>
    </row>
    <row r="43" spans="1:13" ht="14.25" customHeight="1">
      <c r="A43" s="910"/>
      <c r="B43" s="912"/>
      <c r="C43" s="914"/>
      <c r="D43" s="25" t="s">
        <v>42</v>
      </c>
      <c r="E43" s="26">
        <f>'PLANILHA NOVA LICITAÇÃO'!L133</f>
        <v>928.5799046400001</v>
      </c>
      <c r="F43" s="27">
        <f aca="true" t="shared" si="11" ref="F43:K43">F42*$E$43</f>
        <v>0</v>
      </c>
      <c r="G43" s="27">
        <f t="shared" si="11"/>
        <v>464.28995232000005</v>
      </c>
      <c r="H43" s="27">
        <f t="shared" si="11"/>
        <v>464.28995232000005</v>
      </c>
      <c r="I43" s="27">
        <f t="shared" si="11"/>
        <v>0</v>
      </c>
      <c r="J43" s="27">
        <f t="shared" si="11"/>
        <v>0</v>
      </c>
      <c r="K43" s="67">
        <f t="shared" si="11"/>
        <v>0</v>
      </c>
      <c r="M43" s="28">
        <f t="shared" si="7"/>
        <v>928.5799046400001</v>
      </c>
    </row>
    <row r="44" spans="1:13" ht="14.25" customHeight="1" hidden="1">
      <c r="A44" s="909">
        <f>'REPROGRAMAÇÃO - AS BUILT'!A141</f>
        <v>7</v>
      </c>
      <c r="B44" s="911" t="s">
        <v>46</v>
      </c>
      <c r="C44" s="915" t="str">
        <f>'REPROGRAMAÇÃO - AS BUILT'!C141</f>
        <v>LIMPEZA GERAL</v>
      </c>
      <c r="D44" s="25" t="s">
        <v>41</v>
      </c>
      <c r="E44" s="23">
        <f>E45*100%/E53</f>
        <v>0</v>
      </c>
      <c r="F44" s="155">
        <f>' ÚLTIMA MEDIÇÃO - BM Nº5'!BV90%</f>
        <v>0</v>
      </c>
      <c r="G44" s="23"/>
      <c r="H44" s="23"/>
      <c r="I44" s="23"/>
      <c r="J44" s="23"/>
      <c r="K44" s="66"/>
      <c r="M44" s="24">
        <f t="shared" si="7"/>
        <v>0</v>
      </c>
    </row>
    <row r="45" spans="1:13" ht="14.25" customHeight="1" hidden="1">
      <c r="A45" s="910"/>
      <c r="B45" s="912"/>
      <c r="C45" s="916"/>
      <c r="D45" s="25" t="s">
        <v>42</v>
      </c>
      <c r="E45" s="26">
        <f>'PLANILHA NOVA LICITAÇÃO'!L141</f>
        <v>0</v>
      </c>
      <c r="F45" s="27">
        <f aca="true" t="shared" si="12" ref="F45:K45">F44*$E$45</f>
        <v>0</v>
      </c>
      <c r="G45" s="27">
        <f t="shared" si="12"/>
        <v>0</v>
      </c>
      <c r="H45" s="27">
        <f t="shared" si="12"/>
        <v>0</v>
      </c>
      <c r="I45" s="27">
        <f t="shared" si="12"/>
        <v>0</v>
      </c>
      <c r="J45" s="27">
        <f t="shared" si="12"/>
        <v>0</v>
      </c>
      <c r="K45" s="67">
        <f t="shared" si="12"/>
        <v>0</v>
      </c>
      <c r="M45" s="28">
        <f t="shared" si="7"/>
        <v>0</v>
      </c>
    </row>
    <row r="46" spans="1:14" ht="14.25" customHeight="1">
      <c r="A46" s="957"/>
      <c r="B46" s="911"/>
      <c r="C46" s="915"/>
      <c r="D46" s="25" t="s">
        <v>41</v>
      </c>
      <c r="E46" s="23">
        <f>E47*100%/E53</f>
        <v>0</v>
      </c>
      <c r="F46" s="23"/>
      <c r="G46" s="23"/>
      <c r="H46" s="23"/>
      <c r="I46" s="23"/>
      <c r="J46" s="23"/>
      <c r="K46" s="66"/>
      <c r="M46" s="24">
        <f t="shared" si="0"/>
        <v>0</v>
      </c>
      <c r="N46" s="24"/>
    </row>
    <row r="47" spans="1:14" ht="14.25" customHeight="1">
      <c r="A47" s="958"/>
      <c r="B47" s="912"/>
      <c r="C47" s="916"/>
      <c r="D47" s="25" t="s">
        <v>42</v>
      </c>
      <c r="E47" s="26"/>
      <c r="F47" s="27">
        <f aca="true" t="shared" si="13" ref="F47:K47">F46*$E$47</f>
        <v>0</v>
      </c>
      <c r="G47" s="27">
        <f t="shared" si="13"/>
        <v>0</v>
      </c>
      <c r="H47" s="27">
        <f t="shared" si="13"/>
        <v>0</v>
      </c>
      <c r="I47" s="27">
        <f t="shared" si="13"/>
        <v>0</v>
      </c>
      <c r="J47" s="27">
        <f t="shared" si="13"/>
        <v>0</v>
      </c>
      <c r="K47" s="67">
        <f t="shared" si="13"/>
        <v>0</v>
      </c>
      <c r="M47" s="28">
        <f t="shared" si="0"/>
        <v>0</v>
      </c>
      <c r="N47" s="24"/>
    </row>
    <row r="48" spans="1:13" ht="14.25" customHeight="1">
      <c r="A48" s="957"/>
      <c r="B48" s="911"/>
      <c r="C48" s="915"/>
      <c r="D48" s="25" t="s">
        <v>41</v>
      </c>
      <c r="E48" s="23">
        <f>E49*100%/E53</f>
        <v>0</v>
      </c>
      <c r="F48" s="23"/>
      <c r="G48" s="23"/>
      <c r="H48" s="23"/>
      <c r="I48" s="23"/>
      <c r="J48" s="23"/>
      <c r="K48" s="66"/>
      <c r="M48" s="24">
        <f t="shared" si="0"/>
        <v>0</v>
      </c>
    </row>
    <row r="49" spans="1:20" ht="14.25" customHeight="1">
      <c r="A49" s="958"/>
      <c r="B49" s="912"/>
      <c r="C49" s="916"/>
      <c r="D49" s="25" t="s">
        <v>42</v>
      </c>
      <c r="E49" s="26"/>
      <c r="F49" s="27">
        <f aca="true" t="shared" si="14" ref="F49:K49">F48*$E$49</f>
        <v>0</v>
      </c>
      <c r="G49" s="27">
        <f t="shared" si="14"/>
        <v>0</v>
      </c>
      <c r="H49" s="27">
        <f t="shared" si="14"/>
        <v>0</v>
      </c>
      <c r="I49" s="27">
        <f t="shared" si="14"/>
        <v>0</v>
      </c>
      <c r="J49" s="27">
        <f t="shared" si="14"/>
        <v>0</v>
      </c>
      <c r="K49" s="67">
        <f t="shared" si="14"/>
        <v>0</v>
      </c>
      <c r="M49" s="28">
        <f t="shared" si="0"/>
        <v>0</v>
      </c>
      <c r="T49" s="24"/>
    </row>
    <row r="50" spans="1:13" ht="14.25" customHeight="1">
      <c r="A50" s="957"/>
      <c r="B50" s="911"/>
      <c r="C50" s="915"/>
      <c r="D50" s="25" t="s">
        <v>41</v>
      </c>
      <c r="E50" s="23">
        <f>E51*100%/E53</f>
        <v>0</v>
      </c>
      <c r="F50" s="23"/>
      <c r="G50" s="23"/>
      <c r="H50" s="23"/>
      <c r="I50" s="23"/>
      <c r="J50" s="23"/>
      <c r="K50" s="66"/>
      <c r="M50" s="24">
        <f t="shared" si="0"/>
        <v>0</v>
      </c>
    </row>
    <row r="51" spans="1:13" ht="14.25" customHeight="1">
      <c r="A51" s="958"/>
      <c r="B51" s="912"/>
      <c r="C51" s="916"/>
      <c r="D51" s="25" t="s">
        <v>42</v>
      </c>
      <c r="E51" s="26"/>
      <c r="F51" s="27">
        <f aca="true" t="shared" si="15" ref="F51:K51">F50*$E$51</f>
        <v>0</v>
      </c>
      <c r="G51" s="27">
        <f t="shared" si="15"/>
        <v>0</v>
      </c>
      <c r="H51" s="27">
        <f t="shared" si="15"/>
        <v>0</v>
      </c>
      <c r="I51" s="27">
        <f t="shared" si="15"/>
        <v>0</v>
      </c>
      <c r="J51" s="27">
        <f t="shared" si="15"/>
        <v>0</v>
      </c>
      <c r="K51" s="67">
        <f t="shared" si="15"/>
        <v>0</v>
      </c>
      <c r="M51" s="28">
        <f t="shared" si="0"/>
        <v>0</v>
      </c>
    </row>
    <row r="52" spans="1:13" ht="14.25" customHeight="1">
      <c r="A52" s="950" t="s">
        <v>29</v>
      </c>
      <c r="B52" s="951"/>
      <c r="C52" s="952"/>
      <c r="D52" s="29" t="s">
        <v>41</v>
      </c>
      <c r="E52" s="30">
        <f>E36+E38+E40+E42+E44</f>
        <v>0.9999999999999999</v>
      </c>
      <c r="F52" s="30">
        <f aca="true" t="shared" si="16" ref="F52:K52">F53*100%/$E$53</f>
        <v>0</v>
      </c>
      <c r="G52" s="30">
        <f t="shared" si="16"/>
        <v>0.5</v>
      </c>
      <c r="H52" s="30">
        <f t="shared" si="16"/>
        <v>0.5</v>
      </c>
      <c r="I52" s="30">
        <f t="shared" si="16"/>
        <v>0</v>
      </c>
      <c r="J52" s="30">
        <f t="shared" si="16"/>
        <v>0</v>
      </c>
      <c r="K52" s="68">
        <f t="shared" si="16"/>
        <v>0</v>
      </c>
      <c r="M52" s="24">
        <f>SUM(F52:L52)</f>
        <v>1</v>
      </c>
    </row>
    <row r="53" spans="1:14" ht="13.5" customHeight="1" thickBot="1">
      <c r="A53" s="953"/>
      <c r="B53" s="954"/>
      <c r="C53" s="955"/>
      <c r="D53" s="31" t="s">
        <v>42</v>
      </c>
      <c r="E53" s="32">
        <f>E37+E39+E41+E43+E45</f>
        <v>52125.49903210201</v>
      </c>
      <c r="F53" s="32">
        <f>F37+F39+F41+F43+F45</f>
        <v>0</v>
      </c>
      <c r="G53" s="32">
        <f>G37+G39+G41+G43+G45</f>
        <v>26062.749516051004</v>
      </c>
      <c r="H53" s="32">
        <f>H37+H39+H41+H43+H45</f>
        <v>26062.749516051004</v>
      </c>
      <c r="I53" s="32">
        <f>I19+I21+I23+I25+I27+I29+I31+I37+I39+I41+I43+I45</f>
        <v>0</v>
      </c>
      <c r="J53" s="32">
        <f>J19+J21+J23+J25+J27+J29+J31+J37+J39+J41+J43+J45</f>
        <v>0</v>
      </c>
      <c r="K53" s="32">
        <f>K19+K21+K23+K25+K27+K29+K31+K37+K39+K41+K43+K45</f>
        <v>0</v>
      </c>
      <c r="M53" s="28">
        <f>SUM(F53:L53)</f>
        <v>52125.49903210201</v>
      </c>
      <c r="N53" s="649">
        <f>SUM(N18:N52)</f>
        <v>545811.055478102</v>
      </c>
    </row>
    <row r="54" spans="1:11" ht="1.5" customHeight="1" thickBot="1">
      <c r="A54" s="33"/>
      <c r="B54" s="34"/>
      <c r="C54" s="34"/>
      <c r="D54" s="35"/>
      <c r="E54" s="35"/>
      <c r="F54" s="34"/>
      <c r="G54" s="34"/>
      <c r="H54" s="34"/>
      <c r="I54" s="34"/>
      <c r="J54" s="34"/>
      <c r="K54" s="36"/>
    </row>
    <row r="55" spans="1:13" ht="14.25" customHeight="1">
      <c r="A55" s="37"/>
      <c r="B55" s="38"/>
      <c r="C55" s="38"/>
      <c r="D55" s="38"/>
      <c r="E55" s="38"/>
      <c r="F55" s="38"/>
      <c r="G55" s="39"/>
      <c r="H55" s="40"/>
      <c r="I55" s="41"/>
      <c r="J55" s="41"/>
      <c r="K55" s="42"/>
      <c r="M55" s="43" t="s">
        <v>43</v>
      </c>
    </row>
    <row r="56" spans="1:13" ht="14.25" customHeight="1">
      <c r="A56" s="44"/>
      <c r="B56" s="45"/>
      <c r="C56" s="45"/>
      <c r="D56" s="45"/>
      <c r="E56" s="45"/>
      <c r="F56" s="45"/>
      <c r="G56" s="652"/>
      <c r="H56" s="50"/>
      <c r="I56" s="10"/>
      <c r="J56" s="10"/>
      <c r="K56" s="47"/>
      <c r="M56" s="43"/>
    </row>
    <row r="57" spans="1:13" ht="14.25" customHeight="1">
      <c r="A57" s="44"/>
      <c r="B57" s="45"/>
      <c r="C57" s="45"/>
      <c r="D57" s="45"/>
      <c r="E57" s="45"/>
      <c r="F57" s="45"/>
      <c r="G57" s="652"/>
      <c r="H57" s="50"/>
      <c r="I57" s="10"/>
      <c r="J57" s="10"/>
      <c r="K57" s="47"/>
      <c r="M57" s="43"/>
    </row>
    <row r="58" spans="1:13" ht="14.25" customHeight="1">
      <c r="A58" s="44"/>
      <c r="B58" s="45"/>
      <c r="C58" s="45"/>
      <c r="D58" s="45"/>
      <c r="E58" s="45"/>
      <c r="F58" s="45"/>
      <c r="G58" s="652"/>
      <c r="H58" s="50"/>
      <c r="I58" s="10"/>
      <c r="J58" s="10"/>
      <c r="K58" s="47"/>
      <c r="M58" s="43"/>
    </row>
    <row r="59" spans="1:11" ht="14.25" customHeight="1">
      <c r="A59" s="44"/>
      <c r="B59" s="956" t="str">
        <f>'PLANILHA NOVA LICITAÇÃO'!B171:C171</f>
        <v>Assinatura do RT da licitante</v>
      </c>
      <c r="C59" s="956"/>
      <c r="D59" s="45"/>
      <c r="E59" s="946" t="str">
        <f>'PLANILHA NOVA LICITAÇÃO'!E171:H171</f>
        <v>CREAMG NºXXXXXXXXXXX</v>
      </c>
      <c r="F59" s="946"/>
      <c r="G59" s="990"/>
      <c r="H59" s="46" t="s">
        <v>44</v>
      </c>
      <c r="I59" s="10"/>
      <c r="J59" s="10"/>
      <c r="K59" s="47"/>
    </row>
    <row r="60" spans="1:11" ht="14.25" customHeight="1">
      <c r="A60" s="48"/>
      <c r="B60" s="949" t="str">
        <f>'PLANILHA NOVA LICITAÇÃO'!B172:C172</f>
        <v>Nome XXXXXXXXXXXXXXXXX</v>
      </c>
      <c r="C60" s="949"/>
      <c r="D60" s="49"/>
      <c r="E60" s="945"/>
      <c r="F60" s="945"/>
      <c r="G60" s="53"/>
      <c r="H60" s="50"/>
      <c r="I60" s="10"/>
      <c r="J60" s="10"/>
      <c r="K60" s="47"/>
    </row>
    <row r="61" spans="1:11" ht="14.25" customHeight="1">
      <c r="A61" s="48"/>
      <c r="B61" s="161"/>
      <c r="C61" s="161"/>
      <c r="D61" s="49"/>
      <c r="E61" s="651"/>
      <c r="F61" s="651"/>
      <c r="G61" s="53"/>
      <c r="H61" s="50"/>
      <c r="I61" s="10"/>
      <c r="J61" s="10"/>
      <c r="K61" s="47"/>
    </row>
    <row r="62" spans="1:11" ht="14.25" customHeight="1">
      <c r="A62" s="48"/>
      <c r="B62" s="161"/>
      <c r="C62" s="161"/>
      <c r="D62" s="49"/>
      <c r="E62" s="651"/>
      <c r="F62" s="651"/>
      <c r="G62" s="53"/>
      <c r="H62" s="50"/>
      <c r="I62" s="10"/>
      <c r="J62" s="10"/>
      <c r="K62" s="47"/>
    </row>
    <row r="63" spans="1:13" ht="15" customHeight="1">
      <c r="A63" s="51"/>
      <c r="B63" s="52"/>
      <c r="C63" s="52"/>
      <c r="D63" s="947"/>
      <c r="E63" s="947"/>
      <c r="F63" s="947"/>
      <c r="G63" s="948"/>
      <c r="H63" s="50"/>
      <c r="I63" s="10"/>
      <c r="J63" s="10"/>
      <c r="K63" s="47"/>
      <c r="M63" s="28"/>
    </row>
    <row r="64" spans="1:11" ht="13.5" customHeight="1">
      <c r="A64" s="54"/>
      <c r="B64" s="956" t="str">
        <f>'PLANILHA NOVA LICITAÇÃO'!B177:C177</f>
        <v>Assinatura do representante legal da licitante</v>
      </c>
      <c r="C64" s="956"/>
      <c r="D64" s="947"/>
      <c r="E64" s="947"/>
      <c r="F64" s="947"/>
      <c r="G64" s="948"/>
      <c r="H64" s="50"/>
      <c r="I64" s="10"/>
      <c r="J64" s="10"/>
      <c r="K64" s="47"/>
    </row>
    <row r="65" spans="1:11" ht="14.25" customHeight="1" thickBot="1">
      <c r="A65" s="55"/>
      <c r="B65" s="959" t="str">
        <f>'PLANILHA NOVA LICITAÇÃO'!B178:C178</f>
        <v>Nome xxxxxxxxxxxxxxx</v>
      </c>
      <c r="C65" s="959"/>
      <c r="D65" s="56"/>
      <c r="E65" s="56"/>
      <c r="F65" s="57"/>
      <c r="G65" s="58"/>
      <c r="H65" s="59"/>
      <c r="I65" s="57"/>
      <c r="J65" s="57"/>
      <c r="K65" s="60"/>
    </row>
    <row r="66" ht="13.5" customHeight="1"/>
    <row r="67" ht="13.5" customHeight="1" hidden="1"/>
    <row r="68" spans="5:13" ht="17.25" customHeight="1" hidden="1">
      <c r="E68" s="318">
        <v>570087.86</v>
      </c>
      <c r="F68" s="319">
        <f>E68*F52</f>
        <v>0</v>
      </c>
      <c r="G68" s="319">
        <f>E68*G52</f>
        <v>285043.93</v>
      </c>
      <c r="H68" s="319">
        <f>E68*H52</f>
        <v>285043.93</v>
      </c>
      <c r="I68" s="319">
        <f>E68*I52</f>
        <v>0</v>
      </c>
      <c r="J68" s="319">
        <f>E68*J52</f>
        <v>0</v>
      </c>
      <c r="K68" s="319">
        <f>E68*K52</f>
        <v>0</v>
      </c>
      <c r="M68" s="319">
        <f>SUM(F68:K68)</f>
        <v>570087.86</v>
      </c>
    </row>
    <row r="69" ht="12.75" hidden="1"/>
    <row r="70" spans="7:11" ht="12.75" hidden="1">
      <c r="G70" s="319">
        <f>F68+G68</f>
        <v>285043.93</v>
      </c>
      <c r="H70" s="319">
        <f>G70+H68</f>
        <v>570087.86</v>
      </c>
      <c r="I70" s="319">
        <f>H70+I68</f>
        <v>570087.86</v>
      </c>
      <c r="J70" s="319">
        <f>I70+J68</f>
        <v>570087.86</v>
      </c>
      <c r="K70" s="319">
        <f>J70+K68</f>
        <v>570087.86</v>
      </c>
    </row>
    <row r="71" ht="12.75" hidden="1"/>
    <row r="72" ht="12.75" hidden="1"/>
    <row r="73" ht="12.75" hidden="1"/>
    <row r="74" ht="12.75" hidden="1"/>
    <row r="75" ht="12.75" hidden="1"/>
    <row r="76" ht="12.75" hidden="1"/>
  </sheetData>
  <sheetProtection/>
  <mergeCells count="68">
    <mergeCell ref="E59:G59"/>
    <mergeCell ref="B65:C65"/>
    <mergeCell ref="A46:A47"/>
    <mergeCell ref="A34:A35"/>
    <mergeCell ref="B34:B35"/>
    <mergeCell ref="B48:B49"/>
    <mergeCell ref="C48:C49"/>
    <mergeCell ref="C34:C35"/>
    <mergeCell ref="B46:B47"/>
    <mergeCell ref="A48:A49"/>
    <mergeCell ref="A36:A37"/>
    <mergeCell ref="E60:F60"/>
    <mergeCell ref="D63:G64"/>
    <mergeCell ref="C50:C51"/>
    <mergeCell ref="B60:C60"/>
    <mergeCell ref="A52:C53"/>
    <mergeCell ref="B64:C64"/>
    <mergeCell ref="B59:C59"/>
    <mergeCell ref="A50:A51"/>
    <mergeCell ref="B50:B51"/>
    <mergeCell ref="B28:B29"/>
    <mergeCell ref="A22:A23"/>
    <mergeCell ref="A28:A29"/>
    <mergeCell ref="B20:B21"/>
    <mergeCell ref="B24:B25"/>
    <mergeCell ref="C20:C21"/>
    <mergeCell ref="A30:A31"/>
    <mergeCell ref="C28:C29"/>
    <mergeCell ref="A24:A25"/>
    <mergeCell ref="C46:C47"/>
    <mergeCell ref="C30:C31"/>
    <mergeCell ref="B26:B27"/>
    <mergeCell ref="A26:A27"/>
    <mergeCell ref="C24:C25"/>
    <mergeCell ref="B30:B31"/>
    <mergeCell ref="C26:C27"/>
    <mergeCell ref="A8:K8"/>
    <mergeCell ref="I11:K11"/>
    <mergeCell ref="A12:C12"/>
    <mergeCell ref="C22:C23"/>
    <mergeCell ref="B22:B23"/>
    <mergeCell ref="C18:C19"/>
    <mergeCell ref="A10:K10"/>
    <mergeCell ref="D12:H12"/>
    <mergeCell ref="A11:C11"/>
    <mergeCell ref="C16:C17"/>
    <mergeCell ref="B36:B37"/>
    <mergeCell ref="C36:C37"/>
    <mergeCell ref="A2:K2"/>
    <mergeCell ref="A3:K3"/>
    <mergeCell ref="A4:K4"/>
    <mergeCell ref="A20:A21"/>
    <mergeCell ref="I12:K12"/>
    <mergeCell ref="A18:A19"/>
    <mergeCell ref="D11:H11"/>
    <mergeCell ref="B18:B1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2"/>
  <sheetViews>
    <sheetView zoomScaleSheetLayoutView="100" zoomScalePageLayoutView="75" workbookViewId="0" topLeftCell="A1">
      <selection activeCell="F9" sqref="F9"/>
    </sheetView>
  </sheetViews>
  <sheetFormatPr defaultColWidth="9.140625" defaultRowHeight="12.75"/>
  <cols>
    <col min="1" max="1" width="7.00390625" style="209" customWidth="1"/>
    <col min="2" max="2" width="55.7109375" style="209" customWidth="1"/>
    <col min="3" max="3" width="6.140625" style="216" bestFit="1" customWidth="1"/>
    <col min="4" max="4" width="10.7109375" style="209" customWidth="1"/>
    <col min="5" max="5" width="16.7109375" style="209" customWidth="1"/>
    <col min="6" max="6" width="15.7109375" style="209" customWidth="1"/>
    <col min="7" max="7" width="9.7109375" style="209" customWidth="1"/>
    <col min="8" max="8" width="15.00390625" style="216" customWidth="1"/>
    <col min="9" max="9" width="9.28125" style="226" customWidth="1"/>
    <col min="10" max="10" width="0" style="209" hidden="1" customWidth="1"/>
    <col min="11" max="11" width="0" style="210" hidden="1" customWidth="1"/>
    <col min="12" max="16384" width="9.140625" style="209" customWidth="1"/>
  </cols>
  <sheetData>
    <row r="1" spans="1:9" ht="12.75">
      <c r="A1" s="205"/>
      <c r="B1" s="206"/>
      <c r="C1" s="207"/>
      <c r="D1" s="206"/>
      <c r="E1" s="206"/>
      <c r="F1" s="206"/>
      <c r="G1" s="206"/>
      <c r="H1" s="207"/>
      <c r="I1" s="208"/>
    </row>
    <row r="2" spans="1:9" ht="20.25" customHeight="1">
      <c r="A2" s="975" t="str">
        <f>'REPROGRAMAÇÃO - AS BUILT'!A2:L2</f>
        <v>PREFEITURA MUNICIPAL DE SÃO THOMÉ DAS LETRAS-MG</v>
      </c>
      <c r="B2" s="976"/>
      <c r="C2" s="976"/>
      <c r="D2" s="976"/>
      <c r="E2" s="976"/>
      <c r="F2" s="976"/>
      <c r="G2" s="976"/>
      <c r="H2" s="976"/>
      <c r="I2" s="977"/>
    </row>
    <row r="3" spans="1:9" ht="20.25" customHeight="1">
      <c r="A3" s="978" t="str">
        <f>'REPROGRAMAÇÃO - AS BUILT'!A3:L3</f>
        <v>Praça Barão de Alfenas, nº100 – Centro – São Thomé das Letras – MG</v>
      </c>
      <c r="B3" s="979"/>
      <c r="C3" s="979"/>
      <c r="D3" s="979"/>
      <c r="E3" s="979"/>
      <c r="F3" s="979"/>
      <c r="G3" s="979"/>
      <c r="H3" s="979"/>
      <c r="I3" s="980"/>
    </row>
    <row r="4" spans="1:9" ht="20.25" customHeight="1">
      <c r="A4" s="978" t="str">
        <f>'REPROGRAMAÇÃO - AS BUILT'!A4:L4</f>
        <v>CEP: 37.408-000 – Telefax: (35)3237-1223 – CNPJ: 18.008.920/0001-11</v>
      </c>
      <c r="B4" s="979"/>
      <c r="C4" s="979"/>
      <c r="D4" s="979"/>
      <c r="E4" s="979"/>
      <c r="F4" s="979"/>
      <c r="G4" s="979"/>
      <c r="H4" s="979"/>
      <c r="I4" s="980"/>
    </row>
    <row r="5" spans="1:9" ht="20.25" customHeight="1">
      <c r="A5" s="211"/>
      <c r="B5" s="212"/>
      <c r="C5" s="212"/>
      <c r="D5" s="212"/>
      <c r="E5" s="212"/>
      <c r="F5" s="212"/>
      <c r="G5" s="212"/>
      <c r="H5" s="212"/>
      <c r="I5" s="213"/>
    </row>
    <row r="6" spans="1:9" ht="20.25" customHeight="1">
      <c r="A6" s="985" t="s">
        <v>138</v>
      </c>
      <c r="B6" s="986"/>
      <c r="C6" s="986"/>
      <c r="D6" s="986"/>
      <c r="E6" s="986"/>
      <c r="F6" s="986"/>
      <c r="G6" s="986"/>
      <c r="H6" s="986"/>
      <c r="I6" s="987"/>
    </row>
    <row r="7" spans="1:9" ht="12.75" customHeight="1">
      <c r="A7" s="214"/>
      <c r="B7" s="215"/>
      <c r="D7" s="215"/>
      <c r="I7" s="217"/>
    </row>
    <row r="8" spans="1:9" ht="12.75">
      <c r="A8" s="218" t="str">
        <f>'REPROGRAMAÇÃO - AS BUILT'!A11:E11</f>
        <v>PROPONENTE: PREFEITURA MUNICIPAL DE SÃO THOMÉ DAS LETRAS-MG</v>
      </c>
      <c r="D8" s="215"/>
      <c r="I8" s="217"/>
    </row>
    <row r="9" spans="1:9" ht="12.75">
      <c r="A9" s="218" t="str">
        <f>'REPROGRAMAÇÃO - AS BUILT'!A12</f>
        <v>OBJETO: PAVIMENTAÇÃO DE VIAS URBANAS NO MUNICÍPIO DE SÃO THOMÉ DAS LETRAS-MG.</v>
      </c>
      <c r="D9" s="215"/>
      <c r="I9" s="217"/>
    </row>
    <row r="10" spans="1:9" ht="12.75">
      <c r="A10" s="968" t="str">
        <f>'REPROGRAMAÇÃO - AS BUILT'!A13:E13</f>
        <v>LOCAIS: RUA EVARISTO CARDOSO DA SILVA E AV. INTENDENTE TOMÉ MENDES PEIXOTO - CENTRO.</v>
      </c>
      <c r="B10" s="969"/>
      <c r="C10" s="969"/>
      <c r="D10" s="969"/>
      <c r="E10" s="969"/>
      <c r="F10" s="969"/>
      <c r="G10" s="969"/>
      <c r="H10" s="969"/>
      <c r="I10" s="970"/>
    </row>
    <row r="11" spans="1:9" ht="12.75">
      <c r="A11" s="219" t="str">
        <f>'REPROGRAMAÇÃO - AS BUILT'!H11</f>
        <v>PROPOSTA SICONV MC Nº027548/2015</v>
      </c>
      <c r="D11" s="215"/>
      <c r="I11" s="217"/>
    </row>
    <row r="12" spans="1:9" ht="12.75">
      <c r="A12" s="219" t="str">
        <f>'REPROGRAMAÇÃO - AS BUILT'!H12</f>
        <v>ART Nº5.073.375</v>
      </c>
      <c r="D12" s="215"/>
      <c r="I12" s="217"/>
    </row>
    <row r="13" spans="1:9" ht="12.75">
      <c r="A13" s="971" t="str">
        <f>'PLANILHA NOVA LICITAÇÃO'!H13</f>
        <v>DATA: XXXXXXXXXXXX</v>
      </c>
      <c r="B13" s="972"/>
      <c r="D13" s="215"/>
      <c r="I13" s="217"/>
    </row>
    <row r="14" spans="1:9" ht="13.5" thickBot="1">
      <c r="A14" s="220"/>
      <c r="B14" s="221"/>
      <c r="C14" s="222"/>
      <c r="D14" s="223"/>
      <c r="E14" s="221"/>
      <c r="F14" s="221"/>
      <c r="G14" s="221"/>
      <c r="H14" s="222"/>
      <c r="I14" s="224"/>
    </row>
    <row r="15" spans="1:4" ht="13.5" thickBot="1">
      <c r="A15" s="225"/>
      <c r="D15" s="215"/>
    </row>
    <row r="16" spans="1:11" s="231" customFormat="1" ht="25.5" customHeight="1" thickBot="1">
      <c r="A16" s="227" t="s">
        <v>63</v>
      </c>
      <c r="B16" s="228" t="s">
        <v>62</v>
      </c>
      <c r="C16" s="229" t="s">
        <v>26</v>
      </c>
      <c r="D16" s="228" t="s">
        <v>212</v>
      </c>
      <c r="E16" s="229" t="s">
        <v>210</v>
      </c>
      <c r="F16" s="229" t="s">
        <v>126</v>
      </c>
      <c r="G16" s="229" t="s">
        <v>64</v>
      </c>
      <c r="H16" s="229" t="s">
        <v>80</v>
      </c>
      <c r="I16" s="230" t="s">
        <v>65</v>
      </c>
      <c r="K16" s="232"/>
    </row>
    <row r="17" spans="1:11" s="231" customFormat="1" ht="12.75" customHeight="1">
      <c r="A17" s="233"/>
      <c r="B17" s="284"/>
      <c r="C17" s="234"/>
      <c r="D17" s="303"/>
      <c r="E17" s="235"/>
      <c r="F17" s="236"/>
      <c r="G17" s="235"/>
      <c r="H17" s="235"/>
      <c r="I17" s="237"/>
      <c r="K17" s="232"/>
    </row>
    <row r="18" spans="1:11" s="231" customFormat="1" ht="12.75" customHeight="1" hidden="1">
      <c r="A18" s="238">
        <v>1</v>
      </c>
      <c r="B18" s="285" t="s">
        <v>255</v>
      </c>
      <c r="C18" s="239"/>
      <c r="D18" s="656"/>
      <c r="E18" s="660"/>
      <c r="F18" s="275"/>
      <c r="G18" s="660"/>
      <c r="H18" s="660"/>
      <c r="I18" s="658"/>
      <c r="K18" s="232"/>
    </row>
    <row r="19" spans="1:11" s="231" customFormat="1" ht="12.75" customHeight="1" hidden="1">
      <c r="A19" s="240"/>
      <c r="B19" s="286"/>
      <c r="C19" s="241"/>
      <c r="D19" s="304"/>
      <c r="E19" s="242"/>
      <c r="F19" s="243"/>
      <c r="G19" s="242"/>
      <c r="H19" s="242"/>
      <c r="I19" s="244"/>
      <c r="K19" s="232"/>
    </row>
    <row r="20" spans="1:11" s="250" customFormat="1" ht="12.75" customHeight="1" hidden="1">
      <c r="A20" s="245" t="s">
        <v>13</v>
      </c>
      <c r="B20" s="287" t="str">
        <f>'REPROGRAMAÇÃO - AS BUILT'!C88</f>
        <v>INSTALAÇÕES INICIAIS</v>
      </c>
      <c r="C20" s="246"/>
      <c r="D20" s="305"/>
      <c r="E20" s="247"/>
      <c r="F20" s="248"/>
      <c r="G20" s="247"/>
      <c r="H20" s="247"/>
      <c r="I20" s="249"/>
      <c r="K20" s="251"/>
    </row>
    <row r="21" spans="1:11" s="231" customFormat="1" ht="12.75" hidden="1">
      <c r="A21" s="252" t="s">
        <v>139</v>
      </c>
      <c r="B21" s="288" t="str">
        <f>'REPROGRAMAÇÃO - AS BUILT'!C89</f>
        <v>PLACA DE OBRA EM CHAPA DE ACO GALVANIZADO</v>
      </c>
      <c r="C21" s="253" t="str">
        <f>'REPROGRAMAÇÃO - AS BUILT'!D89</f>
        <v>M2</v>
      </c>
      <c r="D21" s="304">
        <v>2</v>
      </c>
      <c r="E21" s="242">
        <v>0</v>
      </c>
      <c r="F21" s="243">
        <v>1.25</v>
      </c>
      <c r="G21" s="242">
        <v>0</v>
      </c>
      <c r="H21" s="242">
        <v>0</v>
      </c>
      <c r="I21" s="244">
        <f>D21*F21</f>
        <v>2.5</v>
      </c>
      <c r="K21" s="232"/>
    </row>
    <row r="22" spans="1:11" s="231" customFormat="1" ht="12.75" customHeight="1" hidden="1">
      <c r="A22" s="252"/>
      <c r="B22" s="289"/>
      <c r="C22" s="253"/>
      <c r="D22" s="306"/>
      <c r="E22" s="254"/>
      <c r="F22" s="255"/>
      <c r="G22" s="254"/>
      <c r="H22" s="254"/>
      <c r="I22" s="256"/>
      <c r="K22" s="232"/>
    </row>
    <row r="23" spans="1:11" s="231" customFormat="1" ht="12.75">
      <c r="A23" s="245">
        <v>1</v>
      </c>
      <c r="B23" s="289" t="str">
        <f>'REPROGRAMAÇÃO - AS BUILT'!C91</f>
        <v>DRENAGEM PLUVIAL</v>
      </c>
      <c r="C23" s="253"/>
      <c r="D23" s="306"/>
      <c r="E23" s="254"/>
      <c r="F23" s="255"/>
      <c r="G23" s="254"/>
      <c r="H23" s="254"/>
      <c r="I23" s="256"/>
      <c r="K23" s="232"/>
    </row>
    <row r="24" spans="1:11" ht="33.75" hidden="1">
      <c r="A24" s="257" t="s">
        <v>140</v>
      </c>
      <c r="B24" s="297" t="str">
        <f>'REPROGRAMAÇÃO - AS BUILT'!C92</f>
        <v>ESCAVACAO DE VALA NAO ESCORADA EM MATERIAL 1A CATEGORIA , PROFUNDIDADE ATE 1,5 M COM ESCAVADEIRA HIDRAULICA 105 HP (CAPACIDADE DE 0,78M3), SEM ESGOTAMENTO</v>
      </c>
      <c r="C24" s="258" t="str">
        <f>'REPROGRAMAÇÃO - AS BUILT'!D92</f>
        <v>M3</v>
      </c>
      <c r="D24" s="981">
        <v>0</v>
      </c>
      <c r="E24" s="966" t="s">
        <v>46</v>
      </c>
      <c r="F24" s="964" t="s">
        <v>46</v>
      </c>
      <c r="G24" s="966" t="s">
        <v>46</v>
      </c>
      <c r="H24" s="966" t="s">
        <v>46</v>
      </c>
      <c r="I24" s="962">
        <v>654.72</v>
      </c>
      <c r="K24" s="983">
        <f>(D27*0.7*1.2)+(D28*0.8*1.2)+(D29*1*1.2)</f>
        <v>654.7199999999999</v>
      </c>
    </row>
    <row r="25" spans="1:11" ht="22.5" hidden="1">
      <c r="A25" s="654"/>
      <c r="B25" s="292" t="s">
        <v>366</v>
      </c>
      <c r="C25" s="662"/>
      <c r="D25" s="982"/>
      <c r="E25" s="967"/>
      <c r="F25" s="965"/>
      <c r="G25" s="967"/>
      <c r="H25" s="967"/>
      <c r="I25" s="963"/>
      <c r="K25" s="984"/>
    </row>
    <row r="26" spans="1:9" ht="12.75" hidden="1">
      <c r="A26" s="252" t="s">
        <v>141</v>
      </c>
      <c r="B26" s="290" t="str">
        <f>'REPROGRAMAÇÃO - AS BUILT'!C93</f>
        <v>APILOAMENTO COM MACO DE 30KG</v>
      </c>
      <c r="C26" s="253" t="str">
        <f>'REPROGRAMAÇÃO - AS BUILT'!D93</f>
        <v>M2</v>
      </c>
      <c r="D26" s="304">
        <f>D27+D28+D29</f>
        <v>703</v>
      </c>
      <c r="E26" s="242">
        <v>0</v>
      </c>
      <c r="F26" s="243">
        <v>0.6</v>
      </c>
      <c r="G26" s="242">
        <v>0</v>
      </c>
      <c r="H26" s="242"/>
      <c r="I26" s="244">
        <f>D26*F26</f>
        <v>421.8</v>
      </c>
    </row>
    <row r="27" spans="1:9" ht="21.75" customHeight="1" hidden="1">
      <c r="A27" s="252" t="s">
        <v>142</v>
      </c>
      <c r="B27" s="290" t="str">
        <f>'REPROGRAMAÇÃO - AS BUILT'!C94</f>
        <v>FORNECIMENTO, ASSENTAMENTO E REJUNTAMENTO COM ARGAMASSA 1:3 DE TUBO DE CONCRETO SIMPLES, CLASSE- PS1, PB, DN 300 MM, PARA AGUAS PLUVIAIS (NBR8890)</v>
      </c>
      <c r="C27" s="253" t="str">
        <f>'REPROGRAMAÇÃO - AS BUILT'!D94</f>
        <v>M</v>
      </c>
      <c r="D27" s="304">
        <v>222</v>
      </c>
      <c r="E27" s="242">
        <v>0</v>
      </c>
      <c r="F27" s="243">
        <v>0</v>
      </c>
      <c r="G27" s="242">
        <v>0</v>
      </c>
      <c r="H27" s="242">
        <v>0</v>
      </c>
      <c r="I27" s="244">
        <f>D27</f>
        <v>222</v>
      </c>
    </row>
    <row r="28" spans="1:9" ht="33" customHeight="1" hidden="1">
      <c r="A28" s="252" t="s">
        <v>143</v>
      </c>
      <c r="B28" s="290" t="str">
        <f>'REPROGRAMAÇÃO - AS BUILT'!C95</f>
        <v>TUBO DE CONCRETO PARA REDES COLETORAS DE ÁGUAS PLUVIAIS, DIÂMETRO DE 400 MM, JUNTA RÍGIDA, INSTALADO EM LOCAL COM BAIXO NÍVEL DE INTERFERÊNCIAS - FORNECIMENTO E ASSENTAMENTO. AF_12/2015</v>
      </c>
      <c r="C28" s="253" t="str">
        <f>'REPROGRAMAÇÃO - AS BUILT'!D95</f>
        <v>M</v>
      </c>
      <c r="D28" s="304">
        <v>454</v>
      </c>
      <c r="E28" s="242">
        <v>0</v>
      </c>
      <c r="F28" s="243">
        <v>0</v>
      </c>
      <c r="G28" s="242">
        <v>0</v>
      </c>
      <c r="H28" s="242">
        <v>0</v>
      </c>
      <c r="I28" s="244">
        <f>D28</f>
        <v>454</v>
      </c>
    </row>
    <row r="29" spans="1:9" ht="33" customHeight="1" hidden="1">
      <c r="A29" s="252" t="s">
        <v>144</v>
      </c>
      <c r="B29" s="290" t="str">
        <f>'REPROGRAMAÇÃO - AS BUILT'!C96</f>
        <v>TUBO DE CONCRETO PARA REDES COLETORAS DE ÁGUAS PLUVIAIS, DIÂMETRO DE 600 MM, JUNTA RÍGIDA, INSTALADO EM LOCAL COM BAIXO NÍVEL DE INTERFERÊNCIAS - FORNECIMENTO E ASSENTAMENTO. AF_12/2015</v>
      </c>
      <c r="C29" s="253" t="str">
        <f>'REPROGRAMAÇÃO - AS BUILT'!D96</f>
        <v>M</v>
      </c>
      <c r="D29" s="304">
        <v>27</v>
      </c>
      <c r="E29" s="242">
        <v>0</v>
      </c>
      <c r="F29" s="243">
        <v>0</v>
      </c>
      <c r="G29" s="242">
        <v>0</v>
      </c>
      <c r="H29" s="242">
        <v>0</v>
      </c>
      <c r="I29" s="244">
        <f>D29</f>
        <v>27</v>
      </c>
    </row>
    <row r="30" spans="1:9" ht="33" customHeight="1" hidden="1">
      <c r="A30" s="653"/>
      <c r="B30" s="291"/>
      <c r="C30" s="661"/>
      <c r="D30" s="655"/>
      <c r="E30" s="659"/>
      <c r="F30" s="274"/>
      <c r="G30" s="659"/>
      <c r="H30" s="659"/>
      <c r="I30" s="657"/>
    </row>
    <row r="31" spans="1:11" ht="22.5" hidden="1">
      <c r="A31" s="973" t="s">
        <v>145</v>
      </c>
      <c r="B31" s="291" t="str">
        <f>'REPROGRAMAÇÃO - AS BUILT'!C97</f>
        <v>REATERRO E COMPACTACAO MECANICO DE VALA COM COMPACTADOR MANUAL TIPO SOQUETE VIBRATORIO</v>
      </c>
      <c r="C31" s="988" t="str">
        <f>'REPROGRAMAÇÃO - AS BUILT'!D97</f>
        <v>M3</v>
      </c>
      <c r="D31" s="981">
        <v>0</v>
      </c>
      <c r="E31" s="966" t="s">
        <v>46</v>
      </c>
      <c r="F31" s="964" t="s">
        <v>46</v>
      </c>
      <c r="G31" s="966" t="s">
        <v>46</v>
      </c>
      <c r="H31" s="966" t="s">
        <v>46</v>
      </c>
      <c r="I31" s="962">
        <v>574.38</v>
      </c>
      <c r="K31" s="983">
        <f>(I24-((D27*0.15^2*3.14)+(D28*0.2^2*3.14)+(D29*0.3^2*3.14)))</f>
        <v>574.3831</v>
      </c>
    </row>
    <row r="32" spans="1:11" ht="22.5" hidden="1">
      <c r="A32" s="974"/>
      <c r="B32" s="292" t="s">
        <v>356</v>
      </c>
      <c r="C32" s="989"/>
      <c r="D32" s="982"/>
      <c r="E32" s="967"/>
      <c r="F32" s="965"/>
      <c r="G32" s="967"/>
      <c r="H32" s="967"/>
      <c r="I32" s="963"/>
      <c r="K32" s="984"/>
    </row>
    <row r="33" spans="1:9" ht="33.75" hidden="1">
      <c r="A33" s="252" t="s">
        <v>146</v>
      </c>
      <c r="B33" s="290" t="str">
        <f>'REPROGRAMAÇÃO - AS BUILT'!C98</f>
        <v>BOCA DE LOBO EM ALVENARIA TIJOLO MACICO, REVESTIDA C/ ARGAMASSA DE CIMENTO E AREIA 1:3, SOBRE LASTRO DE CONCRETO 10CM E TAMPA DE CONCRETO ARMADO</v>
      </c>
      <c r="C33" s="253" t="str">
        <f>'REPROGRAMAÇÃO - AS BUILT'!D98</f>
        <v>UNID.</v>
      </c>
      <c r="D33" s="304">
        <v>0</v>
      </c>
      <c r="E33" s="242">
        <v>0</v>
      </c>
      <c r="F33" s="243">
        <v>0</v>
      </c>
      <c r="G33" s="242">
        <v>0</v>
      </c>
      <c r="H33" s="242">
        <v>0</v>
      </c>
      <c r="I33" s="244">
        <v>15</v>
      </c>
    </row>
    <row r="34" spans="1:9" ht="22.5" hidden="1">
      <c r="A34" s="252" t="s">
        <v>147</v>
      </c>
      <c r="B34" s="290" t="str">
        <f>'REPROGRAMAÇÃO - AS BUILT'!C99</f>
        <v>POCO DE VISITA EM ALVENARIA, PARA REDE D=0,40 M, PARTE FIXA C/ 1,00 M DE ALTURA</v>
      </c>
      <c r="C34" s="253" t="str">
        <f>'REPROGRAMAÇÃO - AS BUILT'!D99</f>
        <v>UNID.</v>
      </c>
      <c r="D34" s="304">
        <v>0</v>
      </c>
      <c r="E34" s="242">
        <v>0</v>
      </c>
      <c r="F34" s="243">
        <v>0</v>
      </c>
      <c r="G34" s="242">
        <v>0</v>
      </c>
      <c r="H34" s="242">
        <v>0</v>
      </c>
      <c r="I34" s="244">
        <v>5</v>
      </c>
    </row>
    <row r="35" spans="1:9" ht="22.5" hidden="1">
      <c r="A35" s="252" t="s">
        <v>148</v>
      </c>
      <c r="B35" s="290" t="str">
        <f>'REPROGRAMAÇÃO - AS BUILT'!C100</f>
        <v>POCO DE VISITA EM ALVENARIA, PARA REDE D=0,60 M, PARTE FIXA C/ 1,00 M DE ALTURA</v>
      </c>
      <c r="C35" s="253" t="str">
        <f>'REPROGRAMAÇÃO - AS BUILT'!D100</f>
        <v>UNID.</v>
      </c>
      <c r="D35" s="304">
        <v>0</v>
      </c>
      <c r="E35" s="242">
        <v>0</v>
      </c>
      <c r="F35" s="243">
        <v>0</v>
      </c>
      <c r="G35" s="242">
        <v>0</v>
      </c>
      <c r="H35" s="242">
        <v>0</v>
      </c>
      <c r="I35" s="244">
        <v>2</v>
      </c>
    </row>
    <row r="36" spans="1:9" ht="22.5" hidden="1">
      <c r="A36" s="252" t="s">
        <v>149</v>
      </c>
      <c r="B36" s="290" t="str">
        <f>'REPROGRAMAÇÃO - AS BUILT'!C101</f>
        <v>TAMPAO DE FERRO FUNDIDO, D = 60CM, 175KG, P = CHAMINE CX AREIA/POCO VISITA ASSENTADO COM ARG CIM/AREIA 1:4, FORNECIMENTO E ASSENTAMENTO</v>
      </c>
      <c r="C36" s="253" t="str">
        <f>'REPROGRAMAÇÃO - AS BUILT'!D101</f>
        <v>UNID.</v>
      </c>
      <c r="D36" s="304">
        <v>0</v>
      </c>
      <c r="E36" s="242">
        <v>0</v>
      </c>
      <c r="F36" s="243">
        <v>0</v>
      </c>
      <c r="G36" s="242">
        <v>0</v>
      </c>
      <c r="H36" s="242">
        <v>0</v>
      </c>
      <c r="I36" s="244">
        <f>I34+I35</f>
        <v>7</v>
      </c>
    </row>
    <row r="37" spans="1:11" ht="45">
      <c r="A37" s="257" t="s">
        <v>13</v>
      </c>
      <c r="B37" s="291" t="str">
        <f>'REPROGRAMAÇÃO - AS BUILT'!$C$102</f>
        <v>ASSENTAMENTO DE GUIA (MEIO-FIO) EM TRECHO RETO, CONFECCIONADA EM CONCRETO PRÉ-FABRICADO, DIMENSÕES 100X15X13X30 CM (COMPRIMENTO X BASE INFERIOR X BASE SUPERIOR X ALTURA), PARA VIAS URBANAS (USO VIÁRIO). AF_06/2016</v>
      </c>
      <c r="C37" s="258" t="str">
        <f>'REPROGRAMAÇÃO - AS BUILT'!D102</f>
        <v>M</v>
      </c>
      <c r="D37" s="307">
        <v>220</v>
      </c>
      <c r="E37" s="259">
        <v>0</v>
      </c>
      <c r="F37" s="260">
        <v>0</v>
      </c>
      <c r="G37" s="259">
        <v>0</v>
      </c>
      <c r="H37" s="259">
        <v>0</v>
      </c>
      <c r="I37" s="261">
        <v>220</v>
      </c>
      <c r="K37" s="264">
        <f>(30+169+21)</f>
        <v>220</v>
      </c>
    </row>
    <row r="38" spans="1:9" ht="15" customHeight="1">
      <c r="A38" s="654"/>
      <c r="B38" s="292" t="s">
        <v>405</v>
      </c>
      <c r="C38" s="662"/>
      <c r="D38" s="656"/>
      <c r="E38" s="660"/>
      <c r="F38" s="275"/>
      <c r="G38" s="660"/>
      <c r="H38" s="660"/>
      <c r="I38" s="658"/>
    </row>
    <row r="39" spans="1:9" ht="23.25" customHeight="1" hidden="1">
      <c r="A39" s="257" t="s">
        <v>254</v>
      </c>
      <c r="B39" s="293" t="str">
        <f>'REPROGRAMAÇÃO - AS BUILT'!$C$103</f>
        <v>EXECUÇÃO DE SARJETA DE CONCRETO USINADO, MOLDADA IN LOCO EM TRECHO RETO, 30 CM BASE X 10 CM ALTURA. AF_06/2016</v>
      </c>
      <c r="C39" s="258" t="str">
        <f>'REPROGRAMAÇÃO - AS BUILT'!D103</f>
        <v>M</v>
      </c>
      <c r="D39" s="655">
        <v>840.5</v>
      </c>
      <c r="E39" s="259">
        <v>0</v>
      </c>
      <c r="F39" s="260">
        <v>0</v>
      </c>
      <c r="G39" s="259">
        <v>0</v>
      </c>
      <c r="H39" s="259">
        <v>0</v>
      </c>
      <c r="I39" s="261">
        <f>D39</f>
        <v>840.5</v>
      </c>
    </row>
    <row r="40" spans="1:9" ht="14.25" customHeight="1" hidden="1">
      <c r="A40" s="654"/>
      <c r="B40" s="292" t="s">
        <v>369</v>
      </c>
      <c r="C40" s="662"/>
      <c r="D40" s="656"/>
      <c r="E40" s="660"/>
      <c r="F40" s="275"/>
      <c r="G40" s="660"/>
      <c r="H40" s="660"/>
      <c r="I40" s="658"/>
    </row>
    <row r="41" spans="1:9" ht="26.25" customHeight="1">
      <c r="A41" s="680" t="s">
        <v>55</v>
      </c>
      <c r="B41" s="292" t="str">
        <f>'REPROGRAMAÇÃO - AS BUILT'!C104</f>
        <v>GRELHA FF 30X90CM, 135KG, P/ CX RALO COM ASSENTAMENTO DE ARGAMASSA CIMENTO/AREIA 1:4 - FORNECIMENTO E INSTALAÇÃO</v>
      </c>
      <c r="C41" s="253" t="s">
        <v>26</v>
      </c>
      <c r="D41" s="304">
        <v>0</v>
      </c>
      <c r="E41" s="242">
        <v>0</v>
      </c>
      <c r="F41" s="243">
        <v>0</v>
      </c>
      <c r="G41" s="242">
        <v>0</v>
      </c>
      <c r="H41" s="242">
        <v>0</v>
      </c>
      <c r="I41" s="244">
        <v>3</v>
      </c>
    </row>
    <row r="42" spans="1:11" ht="12.75" hidden="1">
      <c r="A42" s="252"/>
      <c r="B42" s="290"/>
      <c r="C42" s="253"/>
      <c r="D42" s="304"/>
      <c r="E42" s="242"/>
      <c r="F42" s="243"/>
      <c r="G42" s="242"/>
      <c r="H42" s="242"/>
      <c r="I42" s="244"/>
      <c r="K42" s="263"/>
    </row>
    <row r="43" spans="1:11" s="231" customFormat="1" ht="12.75" hidden="1">
      <c r="A43" s="245" t="s">
        <v>150</v>
      </c>
      <c r="B43" s="294" t="str">
        <f>'REPROGRAMAÇÃO - AS BUILT'!C106</f>
        <v>PAVIMENTAÇÃO EM CBUQ</v>
      </c>
      <c r="C43" s="253"/>
      <c r="D43" s="306"/>
      <c r="E43" s="254"/>
      <c r="F43" s="255"/>
      <c r="G43" s="254"/>
      <c r="H43" s="254"/>
      <c r="I43" s="256"/>
      <c r="K43" s="263"/>
    </row>
    <row r="44" spans="1:11" ht="33.75" hidden="1">
      <c r="A44" s="311" t="s">
        <v>151</v>
      </c>
      <c r="B44" s="293" t="str">
        <f>'REPROGRAMAÇÃO - AS BUILT'!C107</f>
        <v>ESCAVACAO E CARGA MATERIAL 1A CATEGORIA, UTILIZANDO TRATOR DE ESTEIRAS DE 110 A 160HP COM LAMINA, PESO OPERACIONAL * 13T E PA CARREGADEIRA COM 170 HP (DEMOLIÇÃO DE ASFALTO E REMOÇÃO DE BASE PARA SUBSTITUIÇÃO).</v>
      </c>
      <c r="C44" s="283" t="str">
        <f>'REPROGRAMAÇÃO - AS BUILT'!D107</f>
        <v>M3</v>
      </c>
      <c r="D44" s="260">
        <v>8371.65</v>
      </c>
      <c r="E44" s="659">
        <v>0</v>
      </c>
      <c r="F44" s="260">
        <v>0</v>
      </c>
      <c r="G44" s="659">
        <v>0.25</v>
      </c>
      <c r="H44" s="659">
        <v>0</v>
      </c>
      <c r="I44" s="261">
        <f>D44*G44</f>
        <v>2092.9125</v>
      </c>
      <c r="K44" s="264"/>
    </row>
    <row r="45" spans="1:11" ht="14.25" customHeight="1" hidden="1">
      <c r="A45" s="277"/>
      <c r="B45" s="292" t="s">
        <v>369</v>
      </c>
      <c r="C45" s="662"/>
      <c r="D45" s="660"/>
      <c r="E45" s="312"/>
      <c r="F45" s="275"/>
      <c r="G45" s="660"/>
      <c r="H45" s="660"/>
      <c r="I45" s="658"/>
      <c r="K45" s="263"/>
    </row>
    <row r="46" spans="1:12" ht="24.75" customHeight="1" hidden="1">
      <c r="A46" s="276" t="s">
        <v>152</v>
      </c>
      <c r="B46" s="293" t="str">
        <f>'REPROGRAMAÇÃO - AS BUILT'!C108</f>
        <v>DEMOLIÇÃO DE PAVIMENTAÇÃO ASFÁLTICA COM UTILIZAÇÃO DE MARTELO PERFURADOR, ESPESSURA ATÉ 15 CM, EXCLUSIVE CARGA E TRANSPORTE</v>
      </c>
      <c r="C46" s="258" t="str">
        <f>'REPROGRAMAÇÃO - AS BUILT'!D108</f>
        <v>M2</v>
      </c>
      <c r="D46" s="259">
        <v>91.12</v>
      </c>
      <c r="E46" s="260">
        <v>0</v>
      </c>
      <c r="F46" s="659">
        <v>0.6</v>
      </c>
      <c r="G46" s="260">
        <v>0</v>
      </c>
      <c r="H46" s="659">
        <v>0</v>
      </c>
      <c r="I46" s="261">
        <f>D46*F46</f>
        <v>54.672000000000004</v>
      </c>
      <c r="K46" s="263"/>
      <c r="L46" s="264"/>
    </row>
    <row r="47" spans="1:12" ht="14.25" customHeight="1" hidden="1">
      <c r="A47" s="277"/>
      <c r="B47" s="292" t="s">
        <v>369</v>
      </c>
      <c r="C47" s="662"/>
      <c r="D47" s="660"/>
      <c r="E47" s="275"/>
      <c r="F47" s="660"/>
      <c r="G47" s="275"/>
      <c r="H47" s="660"/>
      <c r="I47" s="658"/>
      <c r="K47" s="263"/>
      <c r="L47" s="264"/>
    </row>
    <row r="48" spans="1:12" ht="22.5" hidden="1">
      <c r="A48" s="276" t="s">
        <v>202</v>
      </c>
      <c r="B48" s="293" t="str">
        <f>'REPROGRAMAÇÃO - AS BUILT'!C109</f>
        <v>CARGA, MANOBRAS E DESCARGA DE AREIA, BRITA, PEDRA DE MAO E SOLOS COM CAMINHAO BASCULANTE 6 M3 (DESCARGA LIVRE)</v>
      </c>
      <c r="C48" s="258" t="str">
        <f>'REPROGRAMAÇÃO - AS BUILT'!D109</f>
        <v>M3</v>
      </c>
      <c r="D48" s="259">
        <f>D44+I46</f>
        <v>8426.322</v>
      </c>
      <c r="E48" s="260">
        <v>0</v>
      </c>
      <c r="F48" s="259">
        <f>F44</f>
        <v>0</v>
      </c>
      <c r="G48" s="260">
        <f>G44</f>
        <v>0.25</v>
      </c>
      <c r="H48" s="259">
        <v>0</v>
      </c>
      <c r="I48" s="261">
        <f>D48*G48</f>
        <v>2106.5805</v>
      </c>
      <c r="K48" s="263"/>
      <c r="L48" s="264"/>
    </row>
    <row r="49" spans="1:12" ht="12.75" hidden="1">
      <c r="A49" s="277"/>
      <c r="B49" s="295" t="s">
        <v>232</v>
      </c>
      <c r="C49" s="662"/>
      <c r="D49" s="660"/>
      <c r="E49" s="275"/>
      <c r="F49" s="660"/>
      <c r="G49" s="275"/>
      <c r="H49" s="660"/>
      <c r="I49" s="658"/>
      <c r="K49" s="263"/>
      <c r="L49" s="264"/>
    </row>
    <row r="50" spans="1:12" ht="12.75" hidden="1">
      <c r="A50" s="278" t="s">
        <v>203</v>
      </c>
      <c r="B50" s="296" t="str">
        <f>'REPROGRAMAÇÃO - AS BUILT'!C110</f>
        <v>TRANSPORTE DE PAVIMENTACAO REMOVIDA (RODOVIAS NAO URBANAS)</v>
      </c>
      <c r="C50" s="253" t="str">
        <f>'REPROGRAMAÇÃO - AS BUILT'!D110</f>
        <v>M3XKM</v>
      </c>
      <c r="D50" s="242">
        <f>D48</f>
        <v>8426.322</v>
      </c>
      <c r="E50" s="243">
        <v>0</v>
      </c>
      <c r="F50" s="242">
        <f>F44</f>
        <v>0</v>
      </c>
      <c r="G50" s="243">
        <f>G44</f>
        <v>0.25</v>
      </c>
      <c r="H50" s="242">
        <v>1.5</v>
      </c>
      <c r="I50" s="244">
        <f>D50*G50*H50</f>
        <v>3159.87075</v>
      </c>
      <c r="K50" s="263"/>
      <c r="L50" s="264"/>
    </row>
    <row r="51" spans="1:12" ht="12.75" hidden="1">
      <c r="A51" s="278" t="s">
        <v>204</v>
      </c>
      <c r="B51" s="296" t="str">
        <f>'REPROGRAMAÇÃO - AS BUILT'!C111</f>
        <v>REGULARIZACAO E COMPACTACAO DE SUBLEITO ATE 20 CM DE ESPESSURA</v>
      </c>
      <c r="C51" s="253" t="str">
        <f>'REPROGRAMAÇÃO - AS BUILT'!D111</f>
        <v>M2</v>
      </c>
      <c r="D51" s="242">
        <f>D48</f>
        <v>8426.322</v>
      </c>
      <c r="E51" s="243">
        <v>0</v>
      </c>
      <c r="F51" s="242">
        <f>F44</f>
        <v>0</v>
      </c>
      <c r="G51" s="243">
        <v>0</v>
      </c>
      <c r="H51" s="242">
        <v>0</v>
      </c>
      <c r="I51" s="244">
        <f>D51</f>
        <v>8426.322</v>
      </c>
      <c r="K51" s="263"/>
      <c r="L51" s="264"/>
    </row>
    <row r="52" spans="1:12" ht="33.75" hidden="1">
      <c r="A52" s="278" t="s">
        <v>230</v>
      </c>
      <c r="B52" s="296" t="str">
        <f>'REPROGRAMAÇÃO - AS BUILT'!C112</f>
        <v>ESCAVACAO E CARGA MATERIAL 1A CATEGORIA, UTILIZANDO TRATOR DE ESTEIRAS DE 110 A 160HP COM LAMINA, PESO OPERACIONAL * 13T E PA CARREGADEIRA
COM 170 HP (EXECUÇÃO DE BASE).</v>
      </c>
      <c r="C52" s="253" t="str">
        <f>'REPROGRAMAÇÃO - AS BUILT'!D112</f>
        <v>M3</v>
      </c>
      <c r="D52" s="242">
        <f>D48</f>
        <v>8426.322</v>
      </c>
      <c r="E52" s="243">
        <v>0</v>
      </c>
      <c r="F52" s="242">
        <f>F44</f>
        <v>0</v>
      </c>
      <c r="G52" s="243">
        <v>0.2</v>
      </c>
      <c r="H52" s="242">
        <v>0</v>
      </c>
      <c r="I52" s="244">
        <f>D52*G52</f>
        <v>1685.2644</v>
      </c>
      <c r="K52" s="273"/>
      <c r="L52" s="264"/>
    </row>
    <row r="53" spans="1:12" ht="22.5" hidden="1">
      <c r="A53" s="278" t="s">
        <v>205</v>
      </c>
      <c r="B53" s="296" t="str">
        <f>'REPROGRAMAÇÃO - AS BUILT'!C113</f>
        <v>TRANSPORTE COMERCIAL COM CAMINHAO BASCULANTE 6 M3, RODOVIA EM LEITO NATURAL (EXECUÇÃO DE BASE)</v>
      </c>
      <c r="C53" s="253" t="str">
        <f>'REPROGRAMAÇÃO - AS BUILT'!D113</f>
        <v>TXKM</v>
      </c>
      <c r="D53" s="304">
        <f>D48</f>
        <v>8426.322</v>
      </c>
      <c r="E53" s="242">
        <v>1.3</v>
      </c>
      <c r="F53" s="243">
        <f>F44</f>
        <v>0</v>
      </c>
      <c r="G53" s="242">
        <f>G52</f>
        <v>0.2</v>
      </c>
      <c r="H53" s="242">
        <v>4.8</v>
      </c>
      <c r="I53" s="244">
        <f>D53*E53*G53*H53</f>
        <v>10516.049856000001</v>
      </c>
      <c r="K53" s="273"/>
      <c r="L53" s="264"/>
    </row>
    <row r="54" spans="1:12" ht="22.5" hidden="1">
      <c r="A54" s="278" t="s">
        <v>206</v>
      </c>
      <c r="B54" s="296" t="str">
        <f>'REPROGRAMAÇÃO - AS BUILT'!C114</f>
        <v>BASE DE SOLO ESTABILIZADO SEM MISTURA, COMPACTACAO 100% PROCTOR NORMAL, EXCLUSIVE ESCAVACAO, CARGA E TRANSPORTE DO SOLO</v>
      </c>
      <c r="C54" s="253" t="str">
        <f>'REPROGRAMAÇÃO - AS BUILT'!D114</f>
        <v>M3</v>
      </c>
      <c r="D54" s="304">
        <f>D48</f>
        <v>8426.322</v>
      </c>
      <c r="E54" s="242">
        <v>0</v>
      </c>
      <c r="F54" s="243">
        <f>F44</f>
        <v>0</v>
      </c>
      <c r="G54" s="242">
        <f>G52</f>
        <v>0.2</v>
      </c>
      <c r="H54" s="242">
        <v>0</v>
      </c>
      <c r="I54" s="244">
        <f>D54*G54</f>
        <v>1685.2644</v>
      </c>
      <c r="K54" s="273"/>
      <c r="L54" s="264"/>
    </row>
    <row r="55" spans="1:12" ht="22.5" hidden="1">
      <c r="A55" s="311" t="s">
        <v>207</v>
      </c>
      <c r="B55" s="313" t="str">
        <f>'REPROGRAMAÇÃO - AS BUILT'!C115</f>
        <v>TRANSPORTE COMERCIAL COM CAMINHAO BASCULANTE 6 M3, RODOVIA PAVIMENTADA (CM-30)</v>
      </c>
      <c r="C55" s="661" t="str">
        <f>'REPROGRAMAÇÃO - AS BUILT'!D115</f>
        <v>TXKM</v>
      </c>
      <c r="D55" s="655"/>
      <c r="E55" s="659"/>
      <c r="F55" s="274"/>
      <c r="G55" s="659"/>
      <c r="H55" s="659"/>
      <c r="I55" s="657">
        <f>I56</f>
        <v>700.92817008</v>
      </c>
      <c r="K55" s="273"/>
      <c r="L55" s="264"/>
    </row>
    <row r="56" spans="1:12" ht="12.75" hidden="1">
      <c r="A56" s="277"/>
      <c r="B56" s="295" t="s">
        <v>211</v>
      </c>
      <c r="C56" s="662"/>
      <c r="D56" s="656">
        <f>I57</f>
        <v>8090.122</v>
      </c>
      <c r="E56" s="310">
        <v>0.0012</v>
      </c>
      <c r="F56" s="275">
        <v>0</v>
      </c>
      <c r="G56" s="660">
        <v>0</v>
      </c>
      <c r="H56" s="660">
        <v>72.2</v>
      </c>
      <c r="I56" s="658">
        <f>D56*E56*H56</f>
        <v>700.92817008</v>
      </c>
      <c r="K56" s="273"/>
      <c r="L56" s="264"/>
    </row>
    <row r="57" spans="1:12" ht="12.75" hidden="1">
      <c r="A57" s="276" t="s">
        <v>208</v>
      </c>
      <c r="B57" s="293" t="str">
        <f>'REPROGRAMAÇÃO - AS BUILT'!C116</f>
        <v>IMPRIMACAO DE BASE DE PAVIMENTACAO COM EMULSAO CM-30</v>
      </c>
      <c r="C57" s="258" t="str">
        <f>'REPROGRAMAÇÃO - AS BUILT'!D116</f>
        <v>M2</v>
      </c>
      <c r="D57" s="307">
        <f>K57</f>
        <v>8090.122</v>
      </c>
      <c r="E57" s="259">
        <v>0</v>
      </c>
      <c r="F57" s="260">
        <v>0</v>
      </c>
      <c r="G57" s="259">
        <v>0</v>
      </c>
      <c r="H57" s="259">
        <v>0</v>
      </c>
      <c r="I57" s="261">
        <f>D57</f>
        <v>8090.122</v>
      </c>
      <c r="K57" s="262">
        <f>D48-(I39*0.4)</f>
        <v>8090.122</v>
      </c>
      <c r="L57" s="264"/>
    </row>
    <row r="58" spans="1:11" ht="12.75" hidden="1">
      <c r="A58" s="277"/>
      <c r="B58" s="295" t="s">
        <v>233</v>
      </c>
      <c r="C58" s="662"/>
      <c r="D58" s="656"/>
      <c r="E58" s="660"/>
      <c r="F58" s="275"/>
      <c r="G58" s="660"/>
      <c r="H58" s="660"/>
      <c r="I58" s="658"/>
      <c r="K58" s="263"/>
    </row>
    <row r="59" spans="1:12" ht="15" customHeight="1" hidden="1">
      <c r="A59" s="278" t="s">
        <v>209</v>
      </c>
      <c r="B59" s="296" t="str">
        <f>'REPROGRAMAÇÃO - AS BUILT'!C117</f>
        <v>TRANSPORTE COMERCIAL COM CAMINHAO CARROCERIA 9 T, RODOVIA PAVIMENTADA</v>
      </c>
      <c r="C59" s="253" t="str">
        <f>'REPROGRAMAÇÃO - AS BUILT'!D117</f>
        <v>TXKM</v>
      </c>
      <c r="D59" s="304">
        <f>D57</f>
        <v>8090.122</v>
      </c>
      <c r="E59" s="242">
        <v>2.4</v>
      </c>
      <c r="F59" s="243">
        <f>F57</f>
        <v>0</v>
      </c>
      <c r="G59" s="242">
        <f>H60</f>
        <v>0.04</v>
      </c>
      <c r="H59" s="242">
        <f>H56</f>
        <v>72.2</v>
      </c>
      <c r="I59" s="244">
        <f>D59*E59*G59*H59</f>
        <v>56074.2536064</v>
      </c>
      <c r="K59" s="273"/>
      <c r="L59" s="264"/>
    </row>
    <row r="60" spans="1:12" ht="22.5" hidden="1">
      <c r="A60" s="278" t="s">
        <v>231</v>
      </c>
      <c r="B60" s="296" t="str">
        <f>'REPROGRAMAÇÃO - AS BUILT'!C118</f>
        <v> FABRICAÇÃO E APLICAÇÃO DE CONCRETO BETUMINOSO USINADO A QUENTE (CBUQ), CAP 50/70, EXCLUSIVE TRANSPORTE</v>
      </c>
      <c r="C60" s="253" t="str">
        <f>'REPROGRAMAÇÃO - AS BUILT'!D118</f>
        <v>T</v>
      </c>
      <c r="D60" s="304">
        <f>D57</f>
        <v>8090.122</v>
      </c>
      <c r="E60" s="242">
        <v>2.4</v>
      </c>
      <c r="F60" s="243">
        <f>F57</f>
        <v>0</v>
      </c>
      <c r="G60" s="242">
        <v>0</v>
      </c>
      <c r="H60" s="242">
        <v>0.04</v>
      </c>
      <c r="I60" s="244">
        <f>D60*E60*H60</f>
        <v>776.651712</v>
      </c>
      <c r="K60" s="273"/>
      <c r="L60" s="264"/>
    </row>
    <row r="61" spans="1:12" ht="12.75">
      <c r="A61" s="279"/>
      <c r="B61" s="291"/>
      <c r="C61" s="258"/>
      <c r="D61" s="656"/>
      <c r="E61" s="259"/>
      <c r="F61" s="260"/>
      <c r="G61" s="259"/>
      <c r="H61" s="259"/>
      <c r="I61" s="261"/>
      <c r="K61" s="273"/>
      <c r="L61" s="264"/>
    </row>
    <row r="62" spans="1:11" s="231" customFormat="1" ht="12.75">
      <c r="A62" s="245">
        <v>2</v>
      </c>
      <c r="B62" s="289" t="str">
        <f>'REPROGRAMAÇÃO - AS BUILT'!C120</f>
        <v>URBANIZAÇÃO E OBRAS COMPLEMENTARES</v>
      </c>
      <c r="C62" s="253"/>
      <c r="D62" s="306"/>
      <c r="E62" s="254"/>
      <c r="F62" s="255"/>
      <c r="G62" s="254"/>
      <c r="H62" s="254"/>
      <c r="I62" s="256"/>
      <c r="K62" s="273"/>
    </row>
    <row r="63" spans="1:11" ht="23.25" customHeight="1">
      <c r="A63" s="257" t="s">
        <v>14</v>
      </c>
      <c r="B63" s="291" t="str">
        <f>'REPROGRAMAÇÃO - AS BUILT'!C121</f>
        <v>EXECUÇÃO E COMPACTAÇÃO DE ATERRO COM SOLO PREDOMINANTEMENTE ARGILOSO - EXCLUSIVE ESCAVAÇÃO, CARGA E TRANSPORTE E SOLO. AF_09/2017</v>
      </c>
      <c r="C63" s="258" t="str">
        <f>'REPROGRAMAÇÃO - AS BUILT'!D121</f>
        <v>M3</v>
      </c>
      <c r="D63" s="307">
        <v>986.79</v>
      </c>
      <c r="E63" s="259">
        <v>0</v>
      </c>
      <c r="F63" s="260">
        <f>F66</f>
        <v>0</v>
      </c>
      <c r="G63" s="259">
        <v>0.15</v>
      </c>
      <c r="H63" s="259">
        <v>0</v>
      </c>
      <c r="I63" s="261">
        <f>D63*G63</f>
        <v>148.0185</v>
      </c>
      <c r="K63" s="260">
        <f>((454.1+30+22.5)*1.08)+((47.3+41.3)*1.38)+((75+80)*1.87)+(5.1*1.08*5)</f>
        <v>986.7860000000001</v>
      </c>
    </row>
    <row r="64" spans="1:11" ht="24" customHeight="1">
      <c r="A64" s="257"/>
      <c r="B64" s="291" t="s">
        <v>426</v>
      </c>
      <c r="C64" s="258"/>
      <c r="D64" s="307"/>
      <c r="E64" s="259"/>
      <c r="F64" s="260"/>
      <c r="G64" s="259"/>
      <c r="H64" s="259"/>
      <c r="I64" s="261"/>
      <c r="K64" s="263"/>
    </row>
    <row r="65" spans="1:12" ht="22.5" customHeight="1">
      <c r="A65" s="257"/>
      <c r="B65" s="291" t="s">
        <v>419</v>
      </c>
      <c r="C65" s="258"/>
      <c r="D65" s="307"/>
      <c r="E65" s="259"/>
      <c r="F65" s="260"/>
      <c r="G65" s="259"/>
      <c r="H65" s="259"/>
      <c r="I65" s="261"/>
      <c r="K65" s="273"/>
      <c r="L65" s="264"/>
    </row>
    <row r="66" spans="1:12" ht="21.75" customHeight="1">
      <c r="A66" s="653" t="s">
        <v>15</v>
      </c>
      <c r="B66" s="297" t="str">
        <f>'REPROGRAMAÇÃO - AS BUILT'!C122</f>
        <v>EXECUÇÃO DE PASSEIO (CALÇADA) OU PISO DE CONCRETO COM CONCRETO MOLDADO IN LOCO, FEITO EM OBRA, ACABAMENTO CONVENCIONAL, NÃO ARMADO. AF_07/2016, ESPESSURA 5CM, INCLUSIVE RAMPA PARA PORTADORES DE NECESSIDADES ESPECIAIS</v>
      </c>
      <c r="C66" s="661" t="str">
        <f>'REPROGRAMAÇÃO - AS BUILT'!D122</f>
        <v>M3</v>
      </c>
      <c r="D66" s="655">
        <v>986.79</v>
      </c>
      <c r="E66" s="659">
        <v>0</v>
      </c>
      <c r="F66" s="274">
        <v>0</v>
      </c>
      <c r="G66" s="659">
        <v>0.05</v>
      </c>
      <c r="H66" s="659">
        <v>0</v>
      </c>
      <c r="I66" s="657">
        <f>D66*G66</f>
        <v>49.3395</v>
      </c>
      <c r="K66" s="260">
        <f>((454.1+30+22.5)*1.08)+((47.3+41.3)*1.38)+((75+80)*1.87)+(5.1*1.08*5)</f>
        <v>986.7860000000001</v>
      </c>
      <c r="L66" s="264"/>
    </row>
    <row r="67" spans="1:12" ht="23.25" customHeight="1">
      <c r="A67" s="257"/>
      <c r="B67" s="291" t="s">
        <v>426</v>
      </c>
      <c r="C67" s="258"/>
      <c r="D67" s="307"/>
      <c r="E67" s="259"/>
      <c r="F67" s="260"/>
      <c r="G67" s="259"/>
      <c r="H67" s="259"/>
      <c r="I67" s="261"/>
      <c r="K67" s="273"/>
      <c r="L67" s="264"/>
    </row>
    <row r="68" spans="1:12" ht="22.5" customHeight="1">
      <c r="A68" s="257"/>
      <c r="B68" s="291" t="s">
        <v>419</v>
      </c>
      <c r="C68" s="258"/>
      <c r="D68" s="307"/>
      <c r="E68" s="259"/>
      <c r="F68" s="260"/>
      <c r="G68" s="259"/>
      <c r="H68" s="259"/>
      <c r="I68" s="261"/>
      <c r="K68" s="264"/>
      <c r="L68" s="264"/>
    </row>
    <row r="69" spans="1:12" ht="33.75">
      <c r="A69" s="252" t="s">
        <v>16</v>
      </c>
      <c r="B69" s="290" t="str">
        <f>'REPROGRAMAÇÃO - AS BUILT'!C123</f>
        <v>PISO PODOTÁTIL DE CONCRETO, ALERTA, APLICADO EM PISO (20X20CM) COM JUNTA SECA, COR VERMELHO/AMARELO, ASSENTAMENTO COM ARGAMASSA INDUSTRIALIZADA, INCLUSIVE FORNECIMENTO E INSTALAÇÃO</v>
      </c>
      <c r="C69" s="253" t="str">
        <f>'REPROGRAMAÇÃO - AS BUILT'!D123</f>
        <v>M2</v>
      </c>
      <c r="D69" s="304">
        <f>(1.08*2)+1.5</f>
        <v>3.66</v>
      </c>
      <c r="E69" s="242">
        <v>0</v>
      </c>
      <c r="F69" s="243">
        <v>0.2</v>
      </c>
      <c r="G69" s="242">
        <v>0</v>
      </c>
      <c r="H69" s="242">
        <v>8</v>
      </c>
      <c r="I69" s="244">
        <f>D69*F69*H69</f>
        <v>5.856000000000001</v>
      </c>
      <c r="K69" s="264">
        <v>5.86</v>
      </c>
      <c r="L69" s="264"/>
    </row>
    <row r="70" spans="1:12" ht="12.75">
      <c r="A70" s="257"/>
      <c r="B70" s="291"/>
      <c r="C70" s="258"/>
      <c r="D70" s="242"/>
      <c r="E70" s="259"/>
      <c r="F70" s="275"/>
      <c r="G70" s="259"/>
      <c r="H70" s="259"/>
      <c r="I70" s="261"/>
      <c r="K70" s="264"/>
      <c r="L70" s="264"/>
    </row>
    <row r="71" spans="1:11" s="231" customFormat="1" ht="12.75">
      <c r="A71" s="245">
        <v>3</v>
      </c>
      <c r="B71" s="289" t="str">
        <f>'REPROGRAMAÇÃO - AS BUILT'!C125</f>
        <v>SINALIZAÇÃO URBANA</v>
      </c>
      <c r="C71" s="253"/>
      <c r="D71" s="254"/>
      <c r="E71" s="254"/>
      <c r="F71" s="255"/>
      <c r="G71" s="254"/>
      <c r="H71" s="254"/>
      <c r="I71" s="256"/>
      <c r="K71" s="232"/>
    </row>
    <row r="72" spans="1:9" ht="12.75">
      <c r="A72" s="257" t="s">
        <v>24</v>
      </c>
      <c r="B72" s="291" t="str">
        <f>'REPROGRAMAÇÃO - AS BUILT'!C126</f>
        <v>Pintura de faixa - tinta base acrílica - espessura de 0,4 mm - FAIXA DE PEDESTRES</v>
      </c>
      <c r="C72" s="258" t="str">
        <f>'REPROGRAMAÇÃO - AS BUILT'!D126</f>
        <v>M2</v>
      </c>
      <c r="D72" s="259">
        <v>3.3</v>
      </c>
      <c r="E72" s="259">
        <v>0</v>
      </c>
      <c r="F72" s="282">
        <v>4</v>
      </c>
      <c r="G72" s="259">
        <v>0</v>
      </c>
      <c r="H72" s="259">
        <v>8</v>
      </c>
      <c r="I72" s="261">
        <f>D72*F72*H72</f>
        <v>105.6</v>
      </c>
    </row>
    <row r="73" spans="1:9" ht="12.75">
      <c r="A73" s="654"/>
      <c r="B73" s="292" t="s">
        <v>427</v>
      </c>
      <c r="C73" s="662"/>
      <c r="D73" s="660"/>
      <c r="E73" s="660"/>
      <c r="F73" s="275"/>
      <c r="G73" s="660"/>
      <c r="H73" s="660"/>
      <c r="I73" s="658"/>
    </row>
    <row r="74" spans="1:9" ht="12.75">
      <c r="A74" s="252" t="s">
        <v>58</v>
      </c>
      <c r="B74" s="290" t="str">
        <f>'REPROGRAMAÇÃO - AS BUILT'!C127</f>
        <v>Pintura de faixa - tinta base acrílica - espessura de 0,4 mm - FAIXA DE RETENÇÃO </v>
      </c>
      <c r="C74" s="253" t="str">
        <f>'REPROGRAMAÇÃO - AS BUILT'!D127</f>
        <v>M2</v>
      </c>
      <c r="D74" s="242">
        <v>3.8</v>
      </c>
      <c r="E74" s="242">
        <v>0</v>
      </c>
      <c r="F74" s="243">
        <v>0.3</v>
      </c>
      <c r="G74" s="242">
        <v>0</v>
      </c>
      <c r="H74" s="242">
        <v>8</v>
      </c>
      <c r="I74" s="244">
        <f>D74*F74*H74</f>
        <v>9.12</v>
      </c>
    </row>
    <row r="75" spans="1:9" ht="22.5">
      <c r="A75" s="252" t="s">
        <v>27</v>
      </c>
      <c r="B75" s="290" t="str">
        <f>'REPROGRAMAÇÃO - AS BUILT'!C128</f>
        <v>Confecção e instalação de placa em aço nº 16 galvanizado, com película retrorrefletiva tipo I + III</v>
      </c>
      <c r="C75" s="253" t="str">
        <f>'REPROGRAMAÇÃO - AS BUILT'!D128</f>
        <v>M2</v>
      </c>
      <c r="D75" s="242">
        <v>0.36</v>
      </c>
      <c r="E75" s="242">
        <v>0</v>
      </c>
      <c r="F75" s="243">
        <v>0</v>
      </c>
      <c r="G75" s="242">
        <v>0</v>
      </c>
      <c r="H75" s="242">
        <v>14</v>
      </c>
      <c r="I75" s="244">
        <f>D75*H75</f>
        <v>5.04</v>
      </c>
    </row>
    <row r="76" spans="1:9" ht="22.5">
      <c r="A76" s="252" t="s">
        <v>187</v>
      </c>
      <c r="B76" s="290" t="str">
        <f>'REPROGRAMAÇÃO - AS BUILT'!C129</f>
        <v>Fornecimento e implantação de suporte metálico galvanizado para placa de regulamentação - D = 0,60 m</v>
      </c>
      <c r="C76" s="253" t="str">
        <f>'REPROGRAMAÇÃO - AS BUILT'!D129</f>
        <v>UNID.</v>
      </c>
      <c r="D76" s="242">
        <v>0</v>
      </c>
      <c r="E76" s="242">
        <v>0</v>
      </c>
      <c r="F76" s="243">
        <v>0</v>
      </c>
      <c r="G76" s="242">
        <v>0</v>
      </c>
      <c r="H76" s="242">
        <v>17</v>
      </c>
      <c r="I76" s="244">
        <f>H76</f>
        <v>17</v>
      </c>
    </row>
    <row r="77" spans="1:9" ht="12.75">
      <c r="A77" s="252" t="s">
        <v>188</v>
      </c>
      <c r="B77" s="291" t="str">
        <f>'PLANILHA NOVA LICITAÇÃO'!C130</f>
        <v>PINTURA ACRILICA EM PISO CIMENTADO DUAS DEMAOS</v>
      </c>
      <c r="C77" s="253" t="str">
        <f>'PLANILHA NOVA LICITAÇÃO'!D130</f>
        <v>M2</v>
      </c>
      <c r="D77" s="304">
        <v>1.5</v>
      </c>
      <c r="E77" s="242">
        <v>0</v>
      </c>
      <c r="F77" s="243">
        <v>1.2</v>
      </c>
      <c r="G77" s="242">
        <v>0</v>
      </c>
      <c r="H77" s="242">
        <v>8</v>
      </c>
      <c r="I77" s="244">
        <f>D77*F77*H77</f>
        <v>14.399999999999999</v>
      </c>
    </row>
    <row r="78" spans="1:9" ht="12.75">
      <c r="A78" s="252"/>
      <c r="B78" s="292" t="s">
        <v>428</v>
      </c>
      <c r="C78" s="253"/>
      <c r="D78" s="304"/>
      <c r="E78" s="242"/>
      <c r="F78" s="243"/>
      <c r="G78" s="242"/>
      <c r="H78" s="242"/>
      <c r="I78" s="244"/>
    </row>
    <row r="79" spans="1:9" ht="13.5" customHeight="1">
      <c r="A79" s="252" t="s">
        <v>189</v>
      </c>
      <c r="B79" s="290" t="str">
        <f>'REPROGRAMAÇÃO - AS BUILT'!C131</f>
        <v>PLACA ESMALTADA PARA IDENTIFICAÇÃO NR DE RUA, DIMENSÕES 45X25CM</v>
      </c>
      <c r="C79" s="253" t="str">
        <f>'REPROGRAMAÇÃO - AS BUILT'!D131</f>
        <v>UNID.</v>
      </c>
      <c r="D79" s="304">
        <v>0</v>
      </c>
      <c r="E79" s="242">
        <v>0</v>
      </c>
      <c r="F79" s="243">
        <v>0</v>
      </c>
      <c r="G79" s="242">
        <v>0</v>
      </c>
      <c r="H79" s="242">
        <v>3</v>
      </c>
      <c r="I79" s="244">
        <f>H79</f>
        <v>3</v>
      </c>
    </row>
    <row r="80" spans="1:9" ht="12.75">
      <c r="A80" s="252"/>
      <c r="B80" s="290"/>
      <c r="C80" s="253"/>
      <c r="D80" s="304"/>
      <c r="E80" s="242"/>
      <c r="F80" s="243"/>
      <c r="G80" s="242"/>
      <c r="H80" s="242"/>
      <c r="I80" s="244"/>
    </row>
    <row r="81" spans="1:11" s="231" customFormat="1" ht="12.75">
      <c r="A81" s="245">
        <v>4</v>
      </c>
      <c r="B81" s="289" t="str">
        <f>'REPROGRAMAÇÃO - AS BUILT'!C133</f>
        <v>INTENVERÇÃO NOS CANTEIROS CENTRAIS</v>
      </c>
      <c r="C81" s="265"/>
      <c r="D81" s="306"/>
      <c r="E81" s="254"/>
      <c r="F81" s="255"/>
      <c r="G81" s="254"/>
      <c r="H81" s="254"/>
      <c r="I81" s="256"/>
      <c r="K81" s="232"/>
    </row>
    <row r="82" spans="1:9" ht="12.75" hidden="1">
      <c r="A82" s="252" t="s">
        <v>153</v>
      </c>
      <c r="B82" s="290" t="str">
        <f>'REPROGRAMAÇÃO - AS BUILT'!C134</f>
        <v>DEMOLICAO DE ALVENARIA DE ELEMENTOS CERAMICOS VAZADOS</v>
      </c>
      <c r="C82" s="253" t="str">
        <f>'REPROGRAMAÇÃO - AS BUILT'!D134</f>
        <v>M3</v>
      </c>
      <c r="D82" s="304">
        <v>0.6</v>
      </c>
      <c r="E82" s="242">
        <v>0</v>
      </c>
      <c r="F82" s="243">
        <v>0.6</v>
      </c>
      <c r="G82" s="242">
        <v>0.25</v>
      </c>
      <c r="H82" s="242">
        <v>12</v>
      </c>
      <c r="I82" s="244">
        <f>D82*F82*G82*H82</f>
        <v>1.08</v>
      </c>
    </row>
    <row r="83" spans="1:9" ht="36.75" customHeight="1" hidden="1">
      <c r="A83" s="252" t="s">
        <v>228</v>
      </c>
      <c r="B83" s="290" t="str">
        <f>'REPROGRAMAÇÃO - AS BUILT'!C135</f>
        <v>ESCAVAÇÃO MECANIZADA DE VALA COM PROFUNDIDADE ATÉ 1,5 M, COM RETROESCAVADEIRA (CAPACIDADE DA CAÇAMBA DA RETRO: 0,26 M3 / POTÊNCIA: 88 HP), LARGURA DE 0,8 M A 1,5 M, EM SOLO DE 1A CATEGORIA, EM VIAS URBANAS. AF_01/2015</v>
      </c>
      <c r="C83" s="253" t="str">
        <f>'REPROGRAMAÇÃO - AS BUILT'!D135</f>
        <v>M3</v>
      </c>
      <c r="D83" s="304">
        <v>2.4</v>
      </c>
      <c r="E83" s="242">
        <v>0</v>
      </c>
      <c r="F83" s="243">
        <v>0.6</v>
      </c>
      <c r="G83" s="242">
        <v>0</v>
      </c>
      <c r="H83" s="242">
        <f>H82/2</f>
        <v>6</v>
      </c>
      <c r="I83" s="244">
        <f>D83*F83*H83</f>
        <v>8.64</v>
      </c>
    </row>
    <row r="84" spans="1:9" ht="36.75" customHeight="1">
      <c r="A84" s="252">
        <v>4.1</v>
      </c>
      <c r="B84" s="290" t="str">
        <f>'REPROGRAMAÇÃO - AS BUILT'!C136</f>
        <v>ALVENARIA DE VEDAÇÃO DE BLOCOS VAZADOS DE CONCRETO DE 19X19X39CM (ESPESSURA 19CM) DE PAREDES COM ÁREA LÍQUIDA MENOR QUE 6M² COM VÃOS E ARGAMASSA DE ASSENTAMENTO COM PREPARO EM BETONEIRA. AF_06/2014</v>
      </c>
      <c r="C84" s="253" t="str">
        <f>'REPROGRAMAÇÃO - AS BUILT'!D136</f>
        <v>M2</v>
      </c>
      <c r="D84" s="304">
        <v>0.6</v>
      </c>
      <c r="E84" s="242">
        <v>0</v>
      </c>
      <c r="F84" s="243">
        <v>0.6</v>
      </c>
      <c r="G84" s="242">
        <v>0</v>
      </c>
      <c r="H84" s="242">
        <f>H82</f>
        <v>12</v>
      </c>
      <c r="I84" s="244">
        <f>D84*F84*H84</f>
        <v>4.32</v>
      </c>
    </row>
    <row r="85" spans="1:9" ht="36" customHeight="1">
      <c r="A85" s="252" t="s">
        <v>59</v>
      </c>
      <c r="B85" s="290" t="str">
        <f>'REPROGRAMAÇÃO - AS BUILT'!C137</f>
        <v>CHAPISCO APLICADO TANTO EM PILARES E VIGAS DE CONCRETO COMO EM ALVENARIAS DE PAREDES EXTERNAS, COM COLHER DE PEDREIRO.  ARGAMASSA TRAÇO 1:3 COM PREPARO MANUAL. AF_06/2014</v>
      </c>
      <c r="C85" s="253" t="str">
        <f>'REPROGRAMAÇÃO - AS BUILT'!D137</f>
        <v>M2</v>
      </c>
      <c r="D85" s="304">
        <f>D84</f>
        <v>0.6</v>
      </c>
      <c r="E85" s="242">
        <v>0</v>
      </c>
      <c r="F85" s="243">
        <f>F84</f>
        <v>0.6</v>
      </c>
      <c r="G85" s="242">
        <v>0</v>
      </c>
      <c r="H85" s="242">
        <f>H84</f>
        <v>12</v>
      </c>
      <c r="I85" s="244">
        <f>D85*F85*H85</f>
        <v>4.32</v>
      </c>
    </row>
    <row r="86" spans="1:9" ht="33.75" customHeight="1">
      <c r="A86" s="252" t="s">
        <v>159</v>
      </c>
      <c r="B86" s="290" t="str">
        <f>'REPROGRAMAÇÃO - AS BUILT'!C138</f>
        <v>REVESTIMENTO DE PAREDE COM PEDRA SAO TOME 20X40CM, ASSENTAMENTO COM ARGAMASSA TRACO 1:2:2 (CIMENTO, SAIBRO E AREIA MEDIA NÃO PENEIRADA), PREPARO MANUAL DA ARGAMASSA</v>
      </c>
      <c r="C86" s="253" t="str">
        <f>'REPROGRAMAÇÃO - AS BUILT'!D138</f>
        <v>M2</v>
      </c>
      <c r="D86" s="304">
        <f>D85</f>
        <v>0.6</v>
      </c>
      <c r="E86" s="242">
        <v>0</v>
      </c>
      <c r="F86" s="243">
        <f>F85</f>
        <v>0.6</v>
      </c>
      <c r="G86" s="242">
        <v>0</v>
      </c>
      <c r="H86" s="242">
        <f>H85</f>
        <v>12</v>
      </c>
      <c r="I86" s="244">
        <f>D86*F86*H86</f>
        <v>4.32</v>
      </c>
    </row>
    <row r="87" spans="1:9" ht="34.5" customHeight="1" hidden="1">
      <c r="A87" s="252" t="s">
        <v>229</v>
      </c>
      <c r="B87" s="290" t="str">
        <f>'REPROGRAMAÇÃO - AS BUILT'!C139</f>
        <v>REATERRO APILOADO EM CAMADAS 0,20M, UTILIZANDO MATERIAL ARGILO-ARENOSO ADQUIRIDO EM JAZIDA, JÁ CONSIDERANDO UM ACRÉSCIMO DE 25% NO VOLUME DO MATERIAL ADQUIRIDO, NÃO CONSIDERANDO O TRANSPORTE ATÉ O REATERRO</v>
      </c>
      <c r="C87" s="253" t="str">
        <f>'REPROGRAMAÇÃO - AS BUILT'!D139</f>
        <v>M3</v>
      </c>
      <c r="D87" s="304">
        <v>2.4</v>
      </c>
      <c r="E87" s="242">
        <v>0</v>
      </c>
      <c r="F87" s="243">
        <v>0.6</v>
      </c>
      <c r="G87" s="242">
        <v>0</v>
      </c>
      <c r="H87" s="242">
        <f>H86/2</f>
        <v>6</v>
      </c>
      <c r="I87" s="244">
        <f>D87*F87*H87</f>
        <v>8.64</v>
      </c>
    </row>
    <row r="88" spans="1:9" ht="12.75">
      <c r="A88" s="252"/>
      <c r="B88" s="290"/>
      <c r="C88" s="253"/>
      <c r="D88" s="304"/>
      <c r="E88" s="242"/>
      <c r="F88" s="243"/>
      <c r="G88" s="242"/>
      <c r="H88" s="242"/>
      <c r="I88" s="244"/>
    </row>
    <row r="89" spans="1:9" ht="12.75" hidden="1">
      <c r="A89" s="252"/>
      <c r="B89" s="290"/>
      <c r="C89" s="253"/>
      <c r="D89" s="304"/>
      <c r="E89" s="242"/>
      <c r="F89" s="243"/>
      <c r="G89" s="242"/>
      <c r="H89" s="242"/>
      <c r="I89" s="244"/>
    </row>
    <row r="90" spans="1:9" ht="12.75" hidden="1">
      <c r="A90" s="252"/>
      <c r="B90" s="290"/>
      <c r="C90" s="253"/>
      <c r="D90" s="304"/>
      <c r="E90" s="242"/>
      <c r="F90" s="243"/>
      <c r="G90" s="242"/>
      <c r="H90" s="242"/>
      <c r="I90" s="244"/>
    </row>
    <row r="91" spans="1:9" ht="12.75" hidden="1">
      <c r="A91" s="252"/>
      <c r="B91" s="290"/>
      <c r="C91" s="253"/>
      <c r="D91" s="304"/>
      <c r="E91" s="242"/>
      <c r="F91" s="243"/>
      <c r="G91" s="242"/>
      <c r="H91" s="242"/>
      <c r="I91" s="244"/>
    </row>
    <row r="92" spans="1:9" ht="12.75" hidden="1">
      <c r="A92" s="252"/>
      <c r="B92" s="290"/>
      <c r="C92" s="253"/>
      <c r="D92" s="304"/>
      <c r="E92" s="242"/>
      <c r="F92" s="243"/>
      <c r="G92" s="242"/>
      <c r="H92" s="242"/>
      <c r="I92" s="244"/>
    </row>
    <row r="93" spans="1:9" ht="12.75" hidden="1">
      <c r="A93" s="252"/>
      <c r="B93" s="290"/>
      <c r="C93" s="253"/>
      <c r="D93" s="304"/>
      <c r="E93" s="242"/>
      <c r="F93" s="243"/>
      <c r="G93" s="242"/>
      <c r="H93" s="242"/>
      <c r="I93" s="244"/>
    </row>
    <row r="94" spans="1:9" ht="12.75" hidden="1">
      <c r="A94" s="252"/>
      <c r="B94" s="290"/>
      <c r="C94" s="253"/>
      <c r="D94" s="304"/>
      <c r="E94" s="242"/>
      <c r="F94" s="243"/>
      <c r="G94" s="242"/>
      <c r="H94" s="242"/>
      <c r="I94" s="244"/>
    </row>
    <row r="95" spans="1:9" ht="12.75" hidden="1">
      <c r="A95" s="252"/>
      <c r="B95" s="290"/>
      <c r="C95" s="253"/>
      <c r="D95" s="304"/>
      <c r="E95" s="242"/>
      <c r="F95" s="243"/>
      <c r="G95" s="242"/>
      <c r="H95" s="242"/>
      <c r="I95" s="244"/>
    </row>
    <row r="96" spans="1:9" ht="12.75" hidden="1">
      <c r="A96" s="252"/>
      <c r="B96" s="290"/>
      <c r="C96" s="253"/>
      <c r="D96" s="304"/>
      <c r="E96" s="242"/>
      <c r="F96" s="243"/>
      <c r="G96" s="242"/>
      <c r="H96" s="242"/>
      <c r="I96" s="244"/>
    </row>
    <row r="97" spans="1:9" ht="12.75" hidden="1">
      <c r="A97" s="252"/>
      <c r="B97" s="298" t="s">
        <v>154</v>
      </c>
      <c r="C97" s="253"/>
      <c r="D97" s="304"/>
      <c r="E97" s="242"/>
      <c r="F97" s="243"/>
      <c r="G97" s="242"/>
      <c r="H97" s="242"/>
      <c r="I97" s="244"/>
    </row>
    <row r="98" spans="1:9" ht="12.75" hidden="1">
      <c r="A98" s="252"/>
      <c r="B98" s="290"/>
      <c r="C98" s="253"/>
      <c r="D98" s="304"/>
      <c r="E98" s="242"/>
      <c r="F98" s="243"/>
      <c r="G98" s="242"/>
      <c r="H98" s="242"/>
      <c r="I98" s="244"/>
    </row>
    <row r="99" spans="1:11" s="250" customFormat="1" ht="12.75" customHeight="1" hidden="1">
      <c r="A99" s="245"/>
      <c r="B99" s="287" t="str">
        <f>B20</f>
        <v>INSTALAÇÕES INICIAIS</v>
      </c>
      <c r="C99" s="246"/>
      <c r="D99" s="305"/>
      <c r="E99" s="247"/>
      <c r="F99" s="248"/>
      <c r="G99" s="247"/>
      <c r="H99" s="247"/>
      <c r="I99" s="249"/>
      <c r="K99" s="251"/>
    </row>
    <row r="100" spans="1:9" ht="12.75" hidden="1">
      <c r="A100" s="252"/>
      <c r="B100" s="299" t="str">
        <f>B21</f>
        <v>PLACA DE OBRA EM CHAPA DE ACO GALVANIZADO</v>
      </c>
      <c r="C100" s="253"/>
      <c r="D100" s="304"/>
      <c r="E100" s="242"/>
      <c r="F100" s="243"/>
      <c r="G100" s="242"/>
      <c r="H100" s="242"/>
      <c r="I100" s="244">
        <f>I21</f>
        <v>2.5</v>
      </c>
    </row>
    <row r="101" spans="1:9" ht="12.75" customHeight="1" hidden="1">
      <c r="A101" s="252"/>
      <c r="B101" s="299"/>
      <c r="C101" s="253"/>
      <c r="D101" s="304"/>
      <c r="E101" s="242"/>
      <c r="F101" s="243"/>
      <c r="G101" s="242"/>
      <c r="H101" s="242"/>
      <c r="I101" s="244"/>
    </row>
    <row r="102" spans="1:11" s="231" customFormat="1" ht="12.75" hidden="1">
      <c r="A102" s="245"/>
      <c r="B102" s="287" t="str">
        <f>B23</f>
        <v>DRENAGEM PLUVIAL</v>
      </c>
      <c r="C102" s="265"/>
      <c r="D102" s="306"/>
      <c r="E102" s="254"/>
      <c r="F102" s="255"/>
      <c r="G102" s="254"/>
      <c r="H102" s="254"/>
      <c r="I102" s="256"/>
      <c r="K102" s="232"/>
    </row>
    <row r="103" spans="1:9" ht="33.75" hidden="1">
      <c r="A103" s="252"/>
      <c r="B103" s="299" t="str">
        <f>B24</f>
        <v>ESCAVACAO DE VALA NAO ESCORADA EM MATERIAL 1A CATEGORIA , PROFUNDIDADE ATE 1,5 M COM ESCAVADEIRA HIDRAULICA 105 HP (CAPACIDADE DE 0,78M3), SEM ESGOTAMENTO</v>
      </c>
      <c r="C103" s="253"/>
      <c r="D103" s="304"/>
      <c r="E103" s="242"/>
      <c r="F103" s="243"/>
      <c r="G103" s="242"/>
      <c r="H103" s="242"/>
      <c r="I103" s="244">
        <f>I24</f>
        <v>654.72</v>
      </c>
    </row>
    <row r="104" spans="1:9" ht="12.75" hidden="1">
      <c r="A104" s="252"/>
      <c r="B104" s="299" t="str">
        <f>B26</f>
        <v>APILOAMENTO COM MACO DE 30KG</v>
      </c>
      <c r="C104" s="253"/>
      <c r="D104" s="304"/>
      <c r="E104" s="242"/>
      <c r="F104" s="243"/>
      <c r="G104" s="242"/>
      <c r="H104" s="242"/>
      <c r="I104" s="244">
        <f>I26</f>
        <v>421.8</v>
      </c>
    </row>
    <row r="105" spans="1:9" ht="24.75" customHeight="1" hidden="1">
      <c r="A105" s="252"/>
      <c r="B105" s="299" t="str">
        <f>B27</f>
        <v>FORNECIMENTO, ASSENTAMENTO E REJUNTAMENTO COM ARGAMASSA 1:3 DE TUBO DE CONCRETO SIMPLES, CLASSE- PS1, PB, DN 300 MM, PARA AGUAS PLUVIAIS (NBR8890)</v>
      </c>
      <c r="C105" s="253"/>
      <c r="D105" s="304"/>
      <c r="E105" s="242"/>
      <c r="F105" s="243"/>
      <c r="G105" s="242"/>
      <c r="H105" s="242"/>
      <c r="I105" s="244">
        <f>I27</f>
        <v>222</v>
      </c>
    </row>
    <row r="106" spans="1:9" ht="38.25" customHeight="1" hidden="1">
      <c r="A106" s="252"/>
      <c r="B106" s="299" t="str">
        <f>B28</f>
        <v>TUBO DE CONCRETO PARA REDES COLETORAS DE ÁGUAS PLUVIAIS, DIÂMETRO DE 400 MM, JUNTA RÍGIDA, INSTALADO EM LOCAL COM BAIXO NÍVEL DE INTERFERÊNCIAS - FORNECIMENTO E ASSENTAMENTO. AF_12/2015</v>
      </c>
      <c r="C106" s="253"/>
      <c r="D106" s="304"/>
      <c r="E106" s="242"/>
      <c r="F106" s="243"/>
      <c r="G106" s="242"/>
      <c r="H106" s="242"/>
      <c r="I106" s="244">
        <f>I28</f>
        <v>454</v>
      </c>
    </row>
    <row r="107" spans="1:11" ht="35.25" customHeight="1" hidden="1">
      <c r="A107" s="252"/>
      <c r="B107" s="299" t="str">
        <f>B29</f>
        <v>TUBO DE CONCRETO PARA REDES COLETORAS DE ÁGUAS PLUVIAIS, DIÂMETRO DE 600 MM, JUNTA RÍGIDA, INSTALADO EM LOCAL COM BAIXO NÍVEL DE INTERFERÊNCIAS - FORNECIMENTO E ASSENTAMENTO. AF_12/2015</v>
      </c>
      <c r="C107" s="253"/>
      <c r="D107" s="304"/>
      <c r="E107" s="242"/>
      <c r="F107" s="243"/>
      <c r="G107" s="242"/>
      <c r="H107" s="242"/>
      <c r="I107" s="244">
        <f>I29</f>
        <v>27</v>
      </c>
      <c r="K107" s="260"/>
    </row>
    <row r="108" spans="1:9" ht="22.5" hidden="1">
      <c r="A108" s="654"/>
      <c r="B108" s="299" t="str">
        <f>B31</f>
        <v>REATERRO E COMPACTACAO MECANICO DE VALA COM COMPACTADOR MANUAL TIPO SOQUETE VIBRATORIO</v>
      </c>
      <c r="C108" s="662"/>
      <c r="D108" s="656"/>
      <c r="E108" s="660"/>
      <c r="F108" s="275"/>
      <c r="G108" s="660"/>
      <c r="H108" s="660"/>
      <c r="I108" s="244">
        <f>I31</f>
        <v>574.38</v>
      </c>
    </row>
    <row r="109" spans="1:9" ht="33.75" hidden="1">
      <c r="A109" s="252"/>
      <c r="B109" s="299" t="str">
        <f>B33</f>
        <v>BOCA DE LOBO EM ALVENARIA TIJOLO MACICO, REVESTIDA C/ ARGAMASSA DE CIMENTO E AREIA 1:3, SOBRE LASTRO DE CONCRETO 10CM E TAMPA DE CONCRETO ARMADO</v>
      </c>
      <c r="C109" s="253"/>
      <c r="D109" s="304"/>
      <c r="E109" s="242"/>
      <c r="F109" s="243"/>
      <c r="G109" s="242"/>
      <c r="H109" s="242"/>
      <c r="I109" s="244">
        <f>I33</f>
        <v>15</v>
      </c>
    </row>
    <row r="110" spans="1:9" ht="22.5" hidden="1">
      <c r="A110" s="252"/>
      <c r="B110" s="299" t="str">
        <f>B34</f>
        <v>POCO DE VISITA EM ALVENARIA, PARA REDE D=0,40 M, PARTE FIXA C/ 1,00 M DE ALTURA</v>
      </c>
      <c r="C110" s="253"/>
      <c r="D110" s="304"/>
      <c r="E110" s="242"/>
      <c r="F110" s="243"/>
      <c r="G110" s="242"/>
      <c r="H110" s="242"/>
      <c r="I110" s="244">
        <f>I34</f>
        <v>5</v>
      </c>
    </row>
    <row r="111" spans="1:9" ht="23.25" customHeight="1" hidden="1">
      <c r="A111" s="252"/>
      <c r="B111" s="299" t="str">
        <f>B35</f>
        <v>POCO DE VISITA EM ALVENARIA, PARA REDE D=0,60 M, PARTE FIXA C/ 1,00 M DE ALTURA</v>
      </c>
      <c r="C111" s="253"/>
      <c r="D111" s="304"/>
      <c r="E111" s="242"/>
      <c r="F111" s="243"/>
      <c r="G111" s="242"/>
      <c r="H111" s="242"/>
      <c r="I111" s="244">
        <f>I35</f>
        <v>2</v>
      </c>
    </row>
    <row r="112" spans="1:9" ht="23.25" customHeight="1" hidden="1">
      <c r="A112" s="252"/>
      <c r="B112" s="299" t="str">
        <f>B36</f>
        <v>TAMPAO DE FERRO FUNDIDO, D = 60CM, 175KG, P = CHAMINE CX AREIA/POCO VISITA ASSENTADO COM ARG CIM/AREIA 1:4, FORNECIMENTO E ASSENTAMENTO</v>
      </c>
      <c r="C112" s="253"/>
      <c r="D112" s="304"/>
      <c r="E112" s="242"/>
      <c r="F112" s="243"/>
      <c r="G112" s="242"/>
      <c r="H112" s="242"/>
      <c r="I112" s="244">
        <f>I36</f>
        <v>7</v>
      </c>
    </row>
    <row r="113" spans="1:9" ht="45" hidden="1">
      <c r="A113" s="252"/>
      <c r="B113" s="299" t="str">
        <f>B37</f>
        <v>ASSENTAMENTO DE GUIA (MEIO-FIO) EM TRECHO RETO, CONFECCIONADA EM CONCRETO PRÉ-FABRICADO, DIMENSÕES 100X15X13X30 CM (COMPRIMENTO X BASE INFERIOR X BASE SUPERIOR X ALTURA), PARA VIAS URBANAS (USO VIÁRIO). AF_06/2016</v>
      </c>
      <c r="C113" s="253"/>
      <c r="D113" s="304"/>
      <c r="E113" s="242"/>
      <c r="F113" s="243"/>
      <c r="G113" s="242"/>
      <c r="H113" s="242"/>
      <c r="I113" s="244">
        <f>I37</f>
        <v>220</v>
      </c>
    </row>
    <row r="114" spans="1:9" ht="22.5" hidden="1">
      <c r="A114" s="252"/>
      <c r="B114" s="299" t="str">
        <f>B39</f>
        <v>EXECUÇÃO DE SARJETA DE CONCRETO USINADO, MOLDADA IN LOCO EM TRECHO RETO, 30 CM BASE X 10 CM ALTURA. AF_06/2016</v>
      </c>
      <c r="C114" s="253"/>
      <c r="D114" s="304"/>
      <c r="E114" s="242"/>
      <c r="F114" s="243"/>
      <c r="G114" s="242"/>
      <c r="H114" s="242"/>
      <c r="I114" s="244">
        <f>I39</f>
        <v>840.5</v>
      </c>
    </row>
    <row r="115" spans="1:9" ht="22.5" hidden="1">
      <c r="A115" s="252"/>
      <c r="B115" s="299" t="str">
        <f>B41</f>
        <v>GRELHA FF 30X90CM, 135KG, P/ CX RALO COM ASSENTAMENTO DE ARGAMASSA CIMENTO/AREIA 1:4 - FORNECIMENTO E INSTALAÇÃO</v>
      </c>
      <c r="C115" s="253"/>
      <c r="D115" s="304"/>
      <c r="E115" s="242"/>
      <c r="F115" s="243"/>
      <c r="G115" s="242"/>
      <c r="H115" s="242"/>
      <c r="I115" s="244">
        <f>I41</f>
        <v>3</v>
      </c>
    </row>
    <row r="116" spans="1:9" ht="12.75" hidden="1">
      <c r="A116" s="252"/>
      <c r="B116" s="299"/>
      <c r="C116" s="253"/>
      <c r="D116" s="304"/>
      <c r="E116" s="242"/>
      <c r="F116" s="243"/>
      <c r="G116" s="242"/>
      <c r="H116" s="242"/>
      <c r="I116" s="244"/>
    </row>
    <row r="117" spans="1:12" s="231" customFormat="1" ht="12.75" hidden="1">
      <c r="A117" s="245"/>
      <c r="B117" s="287" t="str">
        <f>B43</f>
        <v>PAVIMENTAÇÃO EM CBUQ</v>
      </c>
      <c r="C117" s="265"/>
      <c r="D117" s="306"/>
      <c r="E117" s="254"/>
      <c r="F117" s="255"/>
      <c r="G117" s="254"/>
      <c r="H117" s="254"/>
      <c r="I117" s="256"/>
      <c r="K117" s="266"/>
      <c r="L117" s="266"/>
    </row>
    <row r="118" spans="1:9" ht="37.5" customHeight="1" hidden="1">
      <c r="A118" s="252"/>
      <c r="B118" s="299" t="str">
        <f>B44</f>
        <v>ESCAVACAO E CARGA MATERIAL 1A CATEGORIA, UTILIZANDO TRATOR DE ESTEIRAS DE 110 A 160HP COM LAMINA, PESO OPERACIONAL * 13T E PA CARREGADEIRA COM 170 HP (DEMOLIÇÃO DE ASFALTO E REMOÇÃO DE BASE PARA SUBSTITUIÇÃO).</v>
      </c>
      <c r="C118" s="253"/>
      <c r="D118" s="304"/>
      <c r="E118" s="242"/>
      <c r="F118" s="243"/>
      <c r="G118" s="242"/>
      <c r="H118" s="242"/>
      <c r="I118" s="244">
        <f>I44</f>
        <v>2092.9125</v>
      </c>
    </row>
    <row r="119" spans="1:9" ht="22.5" hidden="1">
      <c r="A119" s="252"/>
      <c r="B119" s="299" t="str">
        <f>B46</f>
        <v>DEMOLIÇÃO DE PAVIMENTAÇÃO ASFÁLTICA COM UTILIZAÇÃO DE MARTELO PERFURADOR, ESPESSURA ATÉ 15 CM, EXCLUSIVE CARGA E TRANSPORTE</v>
      </c>
      <c r="C119" s="253"/>
      <c r="D119" s="304"/>
      <c r="E119" s="242"/>
      <c r="F119" s="243"/>
      <c r="G119" s="242"/>
      <c r="H119" s="242"/>
      <c r="I119" s="244">
        <f>I46</f>
        <v>54.672000000000004</v>
      </c>
    </row>
    <row r="120" spans="1:9" ht="22.5" hidden="1">
      <c r="A120" s="252"/>
      <c r="B120" s="299" t="str">
        <f>B48</f>
        <v>CARGA, MANOBRAS E DESCARGA DE AREIA, BRITA, PEDRA DE MAO E SOLOS COM CAMINHAO BASCULANTE 6 M3 (DESCARGA LIVRE)</v>
      </c>
      <c r="C120" s="253"/>
      <c r="D120" s="304"/>
      <c r="E120" s="242"/>
      <c r="F120" s="243"/>
      <c r="G120" s="242"/>
      <c r="H120" s="242"/>
      <c r="I120" s="244">
        <f>I48</f>
        <v>2106.5805</v>
      </c>
    </row>
    <row r="121" spans="1:9" ht="12.75" hidden="1">
      <c r="A121" s="252"/>
      <c r="B121" s="299" t="str">
        <f aca="true" t="shared" si="0" ref="B121:B126">B50</f>
        <v>TRANSPORTE DE PAVIMENTACAO REMOVIDA (RODOVIAS NAO URBANAS)</v>
      </c>
      <c r="C121" s="253"/>
      <c r="D121" s="304"/>
      <c r="E121" s="242"/>
      <c r="F121" s="243"/>
      <c r="G121" s="242"/>
      <c r="H121" s="242"/>
      <c r="I121" s="244">
        <f aca="true" t="shared" si="1" ref="I121:I126">I50</f>
        <v>3159.87075</v>
      </c>
    </row>
    <row r="122" spans="1:9" ht="12.75" hidden="1">
      <c r="A122" s="252"/>
      <c r="B122" s="299" t="str">
        <f t="shared" si="0"/>
        <v>REGULARIZACAO E COMPACTACAO DE SUBLEITO ATE 20 CM DE ESPESSURA</v>
      </c>
      <c r="C122" s="253"/>
      <c r="D122" s="304"/>
      <c r="E122" s="242"/>
      <c r="F122" s="243"/>
      <c r="G122" s="242"/>
      <c r="H122" s="242"/>
      <c r="I122" s="244">
        <f t="shared" si="1"/>
        <v>8426.322</v>
      </c>
    </row>
    <row r="123" spans="1:9" ht="33.75" hidden="1">
      <c r="A123" s="252"/>
      <c r="B123" s="299" t="str">
        <f t="shared" si="0"/>
        <v>ESCAVACAO E CARGA MATERIAL 1A CATEGORIA, UTILIZANDO TRATOR DE ESTEIRAS DE 110 A 160HP COM LAMINA, PESO OPERACIONAL * 13T E PA CARREGADEIRA
COM 170 HP (EXECUÇÃO DE BASE).</v>
      </c>
      <c r="C123" s="253"/>
      <c r="D123" s="304"/>
      <c r="E123" s="242"/>
      <c r="F123" s="243"/>
      <c r="G123" s="242"/>
      <c r="H123" s="242"/>
      <c r="I123" s="244">
        <f t="shared" si="1"/>
        <v>1685.2644</v>
      </c>
    </row>
    <row r="124" spans="1:9" ht="22.5" hidden="1">
      <c r="A124" s="252"/>
      <c r="B124" s="299" t="str">
        <f t="shared" si="0"/>
        <v>TRANSPORTE COMERCIAL COM CAMINHAO BASCULANTE 6 M3, RODOVIA EM LEITO NATURAL (EXECUÇÃO DE BASE)</v>
      </c>
      <c r="C124" s="253"/>
      <c r="D124" s="304"/>
      <c r="E124" s="242"/>
      <c r="F124" s="243"/>
      <c r="G124" s="242"/>
      <c r="H124" s="242"/>
      <c r="I124" s="244">
        <f t="shared" si="1"/>
        <v>10516.049856000001</v>
      </c>
    </row>
    <row r="125" spans="1:9" ht="22.5" hidden="1">
      <c r="A125" s="252"/>
      <c r="B125" s="299" t="str">
        <f t="shared" si="0"/>
        <v>BASE DE SOLO ESTABILIZADO SEM MISTURA, COMPACTACAO 100% PROCTOR NORMAL, EXCLUSIVE ESCAVACAO, CARGA E TRANSPORTE DO SOLO</v>
      </c>
      <c r="C125" s="253"/>
      <c r="D125" s="304"/>
      <c r="E125" s="242"/>
      <c r="F125" s="243"/>
      <c r="G125" s="242"/>
      <c r="H125" s="242"/>
      <c r="I125" s="244">
        <f t="shared" si="1"/>
        <v>1685.2644</v>
      </c>
    </row>
    <row r="126" spans="1:9" ht="22.5" hidden="1">
      <c r="A126" s="252"/>
      <c r="B126" s="299" t="str">
        <f t="shared" si="0"/>
        <v>TRANSPORTE COMERCIAL COM CAMINHAO BASCULANTE 6 M3, RODOVIA PAVIMENTADA (CM-30)</v>
      </c>
      <c r="C126" s="253"/>
      <c r="D126" s="304"/>
      <c r="E126" s="242"/>
      <c r="F126" s="243"/>
      <c r="G126" s="242"/>
      <c r="H126" s="242"/>
      <c r="I126" s="244">
        <f t="shared" si="1"/>
        <v>700.92817008</v>
      </c>
    </row>
    <row r="127" spans="1:9" ht="12.75" hidden="1">
      <c r="A127" s="252"/>
      <c r="B127" s="299" t="str">
        <f>B57</f>
        <v>IMPRIMACAO DE BASE DE PAVIMENTACAO COM EMULSAO CM-30</v>
      </c>
      <c r="C127" s="253"/>
      <c r="D127" s="304"/>
      <c r="E127" s="242"/>
      <c r="F127" s="243"/>
      <c r="G127" s="242"/>
      <c r="H127" s="242"/>
      <c r="I127" s="244">
        <f>I57</f>
        <v>8090.122</v>
      </c>
    </row>
    <row r="128" spans="1:9" ht="15" customHeight="1" hidden="1">
      <c r="A128" s="252"/>
      <c r="B128" s="299" t="str">
        <f>B59</f>
        <v>TRANSPORTE COMERCIAL COM CAMINHAO CARROCERIA 9 T, RODOVIA PAVIMENTADA</v>
      </c>
      <c r="C128" s="253"/>
      <c r="D128" s="304"/>
      <c r="E128" s="242"/>
      <c r="F128" s="243"/>
      <c r="G128" s="242"/>
      <c r="H128" s="242"/>
      <c r="I128" s="244">
        <f>I59</f>
        <v>56074.2536064</v>
      </c>
    </row>
    <row r="129" spans="1:9" ht="22.5" hidden="1">
      <c r="A129" s="252"/>
      <c r="B129" s="299" t="str">
        <f>B60</f>
        <v> FABRICAÇÃO E APLICAÇÃO DE CONCRETO BETUMINOSO USINADO A QUENTE (CBUQ), CAP 50/70, EXCLUSIVE TRANSPORTE</v>
      </c>
      <c r="C129" s="253"/>
      <c r="D129" s="304"/>
      <c r="E129" s="242"/>
      <c r="F129" s="243"/>
      <c r="G129" s="242"/>
      <c r="H129" s="242"/>
      <c r="I129" s="244">
        <f>I60</f>
        <v>776.651712</v>
      </c>
    </row>
    <row r="130" spans="1:9" ht="12.75" hidden="1">
      <c r="A130" s="252"/>
      <c r="B130" s="299"/>
      <c r="C130" s="253"/>
      <c r="D130" s="304"/>
      <c r="E130" s="242"/>
      <c r="F130" s="243"/>
      <c r="G130" s="242"/>
      <c r="H130" s="242"/>
      <c r="I130" s="244"/>
    </row>
    <row r="131" spans="1:12" s="231" customFormat="1" ht="12.75" hidden="1">
      <c r="A131" s="245"/>
      <c r="B131" s="287" t="str">
        <f>B62</f>
        <v>URBANIZAÇÃO E OBRAS COMPLEMENTARES</v>
      </c>
      <c r="C131" s="265"/>
      <c r="D131" s="306"/>
      <c r="E131" s="254"/>
      <c r="F131" s="255"/>
      <c r="G131" s="254"/>
      <c r="H131" s="254"/>
      <c r="I131" s="256"/>
      <c r="K131" s="266"/>
      <c r="L131" s="266"/>
    </row>
    <row r="132" spans="1:12" ht="24" customHeight="1" hidden="1">
      <c r="A132" s="654"/>
      <c r="B132" s="300" t="str">
        <f>B63</f>
        <v>EXECUÇÃO E COMPACTAÇÃO DE ATERRO COM SOLO PREDOMINANTEMENTE ARGILOSO - EXCLUSIVE ESCAVAÇÃO, CARGA E TRANSPORTE E SOLO. AF_09/2017</v>
      </c>
      <c r="C132" s="662"/>
      <c r="D132" s="656"/>
      <c r="E132" s="660"/>
      <c r="F132" s="275"/>
      <c r="G132" s="660"/>
      <c r="H132" s="660"/>
      <c r="I132" s="244">
        <f>I63</f>
        <v>148.0185</v>
      </c>
      <c r="K132" s="264"/>
      <c r="L132" s="264"/>
    </row>
    <row r="133" spans="1:12" ht="33" customHeight="1" hidden="1">
      <c r="A133" s="252"/>
      <c r="B133" s="299" t="str">
        <f>B66</f>
        <v>EXECUÇÃO DE PASSEIO (CALÇADA) OU PISO DE CONCRETO COM CONCRETO MOLDADO IN LOCO, FEITO EM OBRA, ACABAMENTO CONVENCIONAL, NÃO ARMADO. AF_07/2016, ESPESSURA 5CM, INCLUSIVE RAMPA PARA PORTADORES DE NECESSIDADES ESPECIAIS</v>
      </c>
      <c r="C133" s="253"/>
      <c r="D133" s="304"/>
      <c r="E133" s="242"/>
      <c r="F133" s="243"/>
      <c r="G133" s="242"/>
      <c r="H133" s="242"/>
      <c r="I133" s="244">
        <f>I66</f>
        <v>49.3395</v>
      </c>
      <c r="K133" s="264"/>
      <c r="L133" s="264"/>
    </row>
    <row r="134" spans="1:9" ht="33.75" hidden="1">
      <c r="A134" s="252"/>
      <c r="B134" s="299" t="str">
        <f>B69</f>
        <v>PISO PODOTÁTIL DE CONCRETO, ALERTA, APLICADO EM PISO (20X20CM) COM JUNTA SECA, COR VERMELHO/AMARELO, ASSENTAMENTO COM ARGAMASSA INDUSTRIALIZADA, INCLUSIVE FORNECIMENTO E INSTALAÇÃO</v>
      </c>
      <c r="C134" s="253"/>
      <c r="D134" s="304"/>
      <c r="E134" s="242"/>
      <c r="F134" s="243"/>
      <c r="G134" s="242"/>
      <c r="H134" s="242"/>
      <c r="I134" s="244">
        <f>I69</f>
        <v>5.856000000000001</v>
      </c>
    </row>
    <row r="135" spans="1:9" ht="12.75" hidden="1">
      <c r="A135" s="252"/>
      <c r="B135" s="299"/>
      <c r="C135" s="253"/>
      <c r="D135" s="304"/>
      <c r="E135" s="242"/>
      <c r="F135" s="243"/>
      <c r="G135" s="242"/>
      <c r="H135" s="242"/>
      <c r="I135" s="244"/>
    </row>
    <row r="136" spans="1:11" s="231" customFormat="1" ht="12.75" hidden="1">
      <c r="A136" s="245"/>
      <c r="B136" s="287" t="str">
        <f>B71</f>
        <v>SINALIZAÇÃO URBANA</v>
      </c>
      <c r="C136" s="265"/>
      <c r="D136" s="306"/>
      <c r="E136" s="254"/>
      <c r="F136" s="255"/>
      <c r="G136" s="254"/>
      <c r="H136" s="254"/>
      <c r="I136" s="256"/>
      <c r="K136" s="232"/>
    </row>
    <row r="137" spans="1:9" ht="12.75" hidden="1">
      <c r="A137" s="252"/>
      <c r="B137" s="299" t="str">
        <f>B72</f>
        <v>Pintura de faixa - tinta base acrílica - espessura de 0,4 mm - FAIXA DE PEDESTRES</v>
      </c>
      <c r="C137" s="253"/>
      <c r="D137" s="304"/>
      <c r="E137" s="242"/>
      <c r="F137" s="243"/>
      <c r="G137" s="242"/>
      <c r="H137" s="242"/>
      <c r="I137" s="244">
        <f>I72</f>
        <v>105.6</v>
      </c>
    </row>
    <row r="138" spans="1:9" ht="12.75" hidden="1">
      <c r="A138" s="252"/>
      <c r="B138" s="299" t="str">
        <f>B74</f>
        <v>Pintura de faixa - tinta base acrílica - espessura de 0,4 mm - FAIXA DE RETENÇÃO </v>
      </c>
      <c r="C138" s="253"/>
      <c r="D138" s="304"/>
      <c r="E138" s="242"/>
      <c r="F138" s="243"/>
      <c r="G138" s="242"/>
      <c r="H138" s="242"/>
      <c r="I138" s="244">
        <f>I74</f>
        <v>9.12</v>
      </c>
    </row>
    <row r="139" spans="1:9" ht="22.5" hidden="1">
      <c r="A139" s="252"/>
      <c r="B139" s="299" t="str">
        <f>B75</f>
        <v>Confecção e instalação de placa em aço nº 16 galvanizado, com película retrorrefletiva tipo I + III</v>
      </c>
      <c r="C139" s="253"/>
      <c r="D139" s="304"/>
      <c r="E139" s="242"/>
      <c r="F139" s="243"/>
      <c r="G139" s="242"/>
      <c r="H139" s="242"/>
      <c r="I139" s="244">
        <f>I75</f>
        <v>5.04</v>
      </c>
    </row>
    <row r="140" spans="1:9" ht="22.5" hidden="1">
      <c r="A140" s="252"/>
      <c r="B140" s="299" t="str">
        <f>B76</f>
        <v>Fornecimento e implantação de suporte metálico galvanizado para placa de regulamentação - D = 0,60 m</v>
      </c>
      <c r="C140" s="253"/>
      <c r="D140" s="304"/>
      <c r="E140" s="242"/>
      <c r="F140" s="243"/>
      <c r="G140" s="242"/>
      <c r="H140" s="242"/>
      <c r="I140" s="244">
        <f>I76</f>
        <v>17</v>
      </c>
    </row>
    <row r="141" spans="1:9" ht="12.75" hidden="1">
      <c r="A141" s="252"/>
      <c r="B141" s="299" t="str">
        <f>B79</f>
        <v>PLACA ESMALTADA PARA IDENTIFICAÇÃO NR DE RUA, DIMENSÕES 45X25CM</v>
      </c>
      <c r="C141" s="253"/>
      <c r="D141" s="304"/>
      <c r="E141" s="242"/>
      <c r="F141" s="243"/>
      <c r="G141" s="242"/>
      <c r="H141" s="242"/>
      <c r="I141" s="244">
        <f aca="true" t="shared" si="2" ref="I141:I149">I79</f>
        <v>3</v>
      </c>
    </row>
    <row r="142" spans="1:9" ht="12.75" hidden="1">
      <c r="A142" s="252"/>
      <c r="B142" s="299"/>
      <c r="C142" s="253"/>
      <c r="D142" s="304"/>
      <c r="E142" s="242"/>
      <c r="F142" s="243"/>
      <c r="G142" s="242"/>
      <c r="H142" s="242"/>
      <c r="I142" s="244"/>
    </row>
    <row r="143" spans="1:11" s="231" customFormat="1" ht="12.75" hidden="1">
      <c r="A143" s="245"/>
      <c r="B143" s="287" t="str">
        <f aca="true" t="shared" si="3" ref="B143:B149">B81</f>
        <v>INTENVERÇÃO NOS CANTEIROS CENTRAIS</v>
      </c>
      <c r="C143" s="265"/>
      <c r="D143" s="306"/>
      <c r="E143" s="254"/>
      <c r="F143" s="255"/>
      <c r="G143" s="254"/>
      <c r="H143" s="254"/>
      <c r="I143" s="256"/>
      <c r="K143" s="232"/>
    </row>
    <row r="144" spans="1:9" ht="12.75" hidden="1">
      <c r="A144" s="252"/>
      <c r="B144" s="299" t="str">
        <f t="shared" si="3"/>
        <v>DEMOLICAO DE ALVENARIA DE ELEMENTOS CERAMICOS VAZADOS</v>
      </c>
      <c r="C144" s="253"/>
      <c r="D144" s="304"/>
      <c r="E144" s="242"/>
      <c r="F144" s="243"/>
      <c r="G144" s="242"/>
      <c r="H144" s="242"/>
      <c r="I144" s="244">
        <f t="shared" si="2"/>
        <v>1.08</v>
      </c>
    </row>
    <row r="145" spans="1:11" ht="45" hidden="1">
      <c r="A145" s="252"/>
      <c r="B145" s="299" t="str">
        <f t="shared" si="3"/>
        <v>ESCAVAÇÃO MECANIZADA DE VALA COM PROFUNDIDADE ATÉ 1,5 M, COM RETROESCAVADEIRA (CAPACIDADE DA CAÇAMBA DA RETRO: 0,26 M3 / POTÊNCIA: 88 HP), LARGURA DE 0,8 M A 1,5 M, EM SOLO DE 1A CATEGORIA, EM VIAS URBANAS. AF_01/2015</v>
      </c>
      <c r="C145" s="253"/>
      <c r="D145" s="304"/>
      <c r="E145" s="242"/>
      <c r="F145" s="243"/>
      <c r="G145" s="242"/>
      <c r="H145" s="242"/>
      <c r="I145" s="244">
        <f t="shared" si="2"/>
        <v>8.64</v>
      </c>
      <c r="K145" s="209"/>
    </row>
    <row r="146" spans="1:11" ht="33.75" hidden="1">
      <c r="A146" s="252"/>
      <c r="B146" s="299" t="str">
        <f t="shared" si="3"/>
        <v>ALVENARIA DE VEDAÇÃO DE BLOCOS VAZADOS DE CONCRETO DE 19X19X39CM (ESPESSURA 19CM) DE PAREDES COM ÁREA LÍQUIDA MENOR QUE 6M² COM VÃOS E ARGAMASSA DE ASSENTAMENTO COM PREPARO EM BETONEIRA. AF_06/2014</v>
      </c>
      <c r="C146" s="253"/>
      <c r="D146" s="304"/>
      <c r="E146" s="242"/>
      <c r="F146" s="243"/>
      <c r="G146" s="242"/>
      <c r="H146" s="242"/>
      <c r="I146" s="244">
        <f t="shared" si="2"/>
        <v>4.32</v>
      </c>
      <c r="K146" s="209"/>
    </row>
    <row r="147" spans="1:11" ht="33.75" hidden="1">
      <c r="A147" s="252"/>
      <c r="B147" s="299" t="str">
        <f t="shared" si="3"/>
        <v>CHAPISCO APLICADO TANTO EM PILARES E VIGAS DE CONCRETO COMO EM ALVENARIAS DE PAREDES EXTERNAS, COM COLHER DE PEDREIRO.  ARGAMASSA TRAÇO 1:3 COM PREPARO MANUAL. AF_06/2014</v>
      </c>
      <c r="C147" s="253"/>
      <c r="D147" s="304"/>
      <c r="E147" s="242"/>
      <c r="F147" s="243"/>
      <c r="G147" s="242"/>
      <c r="H147" s="242"/>
      <c r="I147" s="244">
        <f t="shared" si="2"/>
        <v>4.32</v>
      </c>
      <c r="K147" s="209"/>
    </row>
    <row r="148" spans="1:11" ht="33.75" hidden="1">
      <c r="A148" s="252"/>
      <c r="B148" s="299" t="str">
        <f t="shared" si="3"/>
        <v>REVESTIMENTO DE PAREDE COM PEDRA SAO TOME 20X40CM, ASSENTAMENTO COM ARGAMASSA TRACO 1:2:2 (CIMENTO, SAIBRO E AREIA MEDIA NÃO PENEIRADA), PREPARO MANUAL DA ARGAMASSA</v>
      </c>
      <c r="C148" s="253"/>
      <c r="D148" s="304"/>
      <c r="E148" s="242"/>
      <c r="F148" s="243"/>
      <c r="G148" s="242"/>
      <c r="H148" s="242"/>
      <c r="I148" s="244">
        <f t="shared" si="2"/>
        <v>4.32</v>
      </c>
      <c r="K148" s="209"/>
    </row>
    <row r="149" spans="1:11" ht="35.25" customHeight="1" hidden="1">
      <c r="A149" s="252"/>
      <c r="B149" s="299" t="str">
        <f t="shared" si="3"/>
        <v>REATERRO APILOADO EM CAMADAS 0,20M, UTILIZANDO MATERIAL ARGILO-ARENOSO ADQUIRIDO EM JAZIDA, JÁ CONSIDERANDO UM ACRÉSCIMO DE 25% NO VOLUME DO MATERIAL ADQUIRIDO, NÃO CONSIDERANDO O TRANSPORTE ATÉ O REATERRO</v>
      </c>
      <c r="C149" s="253"/>
      <c r="D149" s="304"/>
      <c r="E149" s="242"/>
      <c r="F149" s="243"/>
      <c r="G149" s="242"/>
      <c r="H149" s="242"/>
      <c r="I149" s="244">
        <f t="shared" si="2"/>
        <v>8.64</v>
      </c>
      <c r="K149" s="209"/>
    </row>
    <row r="150" spans="1:11" ht="12.75" hidden="1">
      <c r="A150" s="252"/>
      <c r="B150" s="299"/>
      <c r="C150" s="253"/>
      <c r="D150" s="304"/>
      <c r="E150" s="242"/>
      <c r="F150" s="243"/>
      <c r="G150" s="242"/>
      <c r="H150" s="242"/>
      <c r="I150" s="244"/>
      <c r="K150" s="209"/>
    </row>
    <row r="151" spans="1:11" ht="12.75">
      <c r="A151" s="252"/>
      <c r="B151" s="290"/>
      <c r="C151" s="253"/>
      <c r="D151" s="304"/>
      <c r="E151" s="242"/>
      <c r="F151" s="243"/>
      <c r="G151" s="242"/>
      <c r="H151" s="242"/>
      <c r="I151" s="244"/>
      <c r="K151" s="209"/>
    </row>
    <row r="152" spans="1:11" ht="12.75">
      <c r="A152" s="267"/>
      <c r="B152" s="301" t="str">
        <f>'REPROGRAMAÇÃO - AS BUILT'!$B$174:$C$174</f>
        <v>Clifford Peterle Rezende - Engenheiro Civil</v>
      </c>
      <c r="C152" s="241"/>
      <c r="D152" s="308"/>
      <c r="E152" s="268"/>
      <c r="F152" s="241"/>
      <c r="G152" s="268"/>
      <c r="H152" s="268"/>
      <c r="I152" s="244"/>
      <c r="K152" s="209"/>
    </row>
    <row r="153" spans="1:11" ht="12.75">
      <c r="A153" s="267"/>
      <c r="B153" s="301" t="str">
        <f>'REPROGRAMAÇÃO - AS BUILT'!$B$175:$C$175</f>
        <v>Engenheiro responsável técnico pela elaboração da planilha</v>
      </c>
      <c r="C153" s="241"/>
      <c r="D153" s="308"/>
      <c r="E153" s="268"/>
      <c r="F153" s="241"/>
      <c r="G153" s="268"/>
      <c r="H153" s="268"/>
      <c r="I153" s="244"/>
      <c r="K153" s="209"/>
    </row>
    <row r="154" spans="1:11" ht="12.75">
      <c r="A154" s="267"/>
      <c r="B154" s="301" t="str">
        <f>'REPROGRAMAÇÃO - AS BUILT'!E174</f>
        <v>CREAMG Nº56.477/D</v>
      </c>
      <c r="C154" s="241"/>
      <c r="D154" s="308"/>
      <c r="E154" s="268"/>
      <c r="F154" s="241"/>
      <c r="G154" s="268"/>
      <c r="H154" s="268"/>
      <c r="I154" s="244"/>
      <c r="K154" s="209"/>
    </row>
    <row r="155" spans="1:11" ht="12.75">
      <c r="A155" s="267"/>
      <c r="B155" s="301" t="str">
        <f>'REPROGRAMAÇÃO - AS BUILT'!E175</f>
        <v>ART Nº5.073.375</v>
      </c>
      <c r="C155" s="241"/>
      <c r="D155" s="308"/>
      <c r="E155" s="268"/>
      <c r="F155" s="241"/>
      <c r="G155" s="268"/>
      <c r="H155" s="268"/>
      <c r="I155" s="244"/>
      <c r="K155" s="209"/>
    </row>
    <row r="156" spans="1:11" ht="12.75">
      <c r="A156" s="267"/>
      <c r="B156" s="301"/>
      <c r="C156" s="241"/>
      <c r="D156" s="308"/>
      <c r="E156" s="268"/>
      <c r="F156" s="241"/>
      <c r="G156" s="268"/>
      <c r="H156" s="268"/>
      <c r="I156" s="244"/>
      <c r="K156" s="209"/>
    </row>
    <row r="157" spans="1:11" ht="12.75" hidden="1">
      <c r="A157" s="267"/>
      <c r="B157" s="301"/>
      <c r="C157" s="241"/>
      <c r="D157" s="308"/>
      <c r="E157" s="268"/>
      <c r="F157" s="241"/>
      <c r="G157" s="268"/>
      <c r="H157" s="268"/>
      <c r="I157" s="244"/>
      <c r="K157" s="209"/>
    </row>
    <row r="158" spans="1:11" ht="12.75">
      <c r="A158" s="267"/>
      <c r="B158" s="301"/>
      <c r="C158" s="241"/>
      <c r="D158" s="308"/>
      <c r="E158" s="268"/>
      <c r="F158" s="241"/>
      <c r="G158" s="268"/>
      <c r="H158" s="268"/>
      <c r="I158" s="244"/>
      <c r="K158" s="209"/>
    </row>
    <row r="159" spans="1:11" ht="12.75">
      <c r="A159" s="267"/>
      <c r="B159" s="301" t="str">
        <f>'REPROGRAMAÇÃO - AS BUILT'!$B$180:$C$180</f>
        <v>Tomé Reis Alvarenga</v>
      </c>
      <c r="C159" s="241"/>
      <c r="D159" s="308"/>
      <c r="E159" s="268"/>
      <c r="F159" s="241"/>
      <c r="G159" s="268"/>
      <c r="H159" s="268"/>
      <c r="I159" s="244"/>
      <c r="K159" s="209"/>
    </row>
    <row r="160" spans="1:11" ht="12.75">
      <c r="A160" s="267"/>
      <c r="B160" s="301" t="str">
        <f>'REPROGRAMAÇÃO - AS BUILT'!$B$181:$C$181</f>
        <v>Prefeito Municipal de São Thomé das Letras-MG</v>
      </c>
      <c r="C160" s="241"/>
      <c r="D160" s="308"/>
      <c r="E160" s="268"/>
      <c r="F160" s="241"/>
      <c r="G160" s="268"/>
      <c r="H160" s="268"/>
      <c r="I160" s="244"/>
      <c r="K160" s="209"/>
    </row>
    <row r="161" spans="1:11" ht="13.5" thickBot="1">
      <c r="A161" s="269"/>
      <c r="B161" s="302"/>
      <c r="C161" s="270"/>
      <c r="D161" s="309"/>
      <c r="E161" s="271"/>
      <c r="F161" s="270"/>
      <c r="G161" s="271"/>
      <c r="H161" s="271"/>
      <c r="I161" s="272"/>
      <c r="K161" s="209"/>
    </row>
    <row r="162" spans="1:11" ht="12.75">
      <c r="A162" s="215"/>
      <c r="B162" s="215"/>
      <c r="D162" s="215"/>
      <c r="H162" s="209"/>
      <c r="I162" s="209"/>
      <c r="K162" s="209"/>
    </row>
    <row r="163" spans="1:11" ht="12.75" hidden="1">
      <c r="A163" s="215"/>
      <c r="B163" s="215"/>
      <c r="D163" s="215"/>
      <c r="H163" s="209"/>
      <c r="I163" s="209"/>
      <c r="K163" s="209"/>
    </row>
    <row r="164" spans="1:11" ht="12.75" hidden="1">
      <c r="A164" s="215"/>
      <c r="B164" s="215" t="s">
        <v>406</v>
      </c>
      <c r="D164" s="638">
        <f>I127+K66</f>
        <v>9076.908</v>
      </c>
      <c r="H164" s="209"/>
      <c r="I164" s="209"/>
      <c r="K164" s="209"/>
    </row>
    <row r="165" spans="1:11" ht="12.75" hidden="1">
      <c r="A165" s="215"/>
      <c r="B165" s="215"/>
      <c r="D165" s="215"/>
      <c r="H165" s="209"/>
      <c r="I165" s="209"/>
      <c r="K165" s="209"/>
    </row>
    <row r="166" spans="1:11" ht="12.75" hidden="1">
      <c r="A166" s="215"/>
      <c r="B166" s="215"/>
      <c r="D166" s="215"/>
      <c r="H166" s="209"/>
      <c r="I166" s="209"/>
      <c r="K166" s="209"/>
    </row>
    <row r="167" spans="1:11" ht="12.75">
      <c r="A167" s="215"/>
      <c r="B167" s="215"/>
      <c r="D167" s="215"/>
      <c r="H167" s="209"/>
      <c r="I167" s="209"/>
      <c r="K167" s="209"/>
    </row>
    <row r="168" spans="1:11" ht="12.75">
      <c r="A168" s="215"/>
      <c r="B168" s="215"/>
      <c r="D168" s="215"/>
      <c r="H168" s="209"/>
      <c r="I168" s="209"/>
      <c r="K168" s="209"/>
    </row>
    <row r="169" spans="1:11" ht="12.75">
      <c r="A169" s="215"/>
      <c r="B169" s="215"/>
      <c r="D169" s="215"/>
      <c r="H169" s="209"/>
      <c r="I169" s="209"/>
      <c r="K169" s="209"/>
    </row>
    <row r="170" spans="1:11" ht="12.75">
      <c r="A170" s="215"/>
      <c r="B170" s="215"/>
      <c r="D170" s="215"/>
      <c r="H170" s="209"/>
      <c r="I170" s="209"/>
      <c r="K170" s="209"/>
    </row>
    <row r="171" spans="1:11" ht="12.75">
      <c r="A171" s="215"/>
      <c r="B171" s="215"/>
      <c r="D171" s="215"/>
      <c r="H171" s="209"/>
      <c r="I171" s="209"/>
      <c r="K171" s="209"/>
    </row>
    <row r="172" spans="1:11" ht="12.75">
      <c r="A172" s="215"/>
      <c r="B172" s="215"/>
      <c r="D172" s="215"/>
      <c r="H172" s="209"/>
      <c r="I172" s="209"/>
      <c r="K172" s="209"/>
    </row>
    <row r="173" spans="1:11" ht="12.75">
      <c r="A173" s="215"/>
      <c r="B173" s="215"/>
      <c r="D173" s="215"/>
      <c r="H173" s="209"/>
      <c r="I173" s="209"/>
      <c r="K173" s="209"/>
    </row>
    <row r="174" spans="1:11" ht="12.75">
      <c r="A174" s="215"/>
      <c r="B174" s="215"/>
      <c r="D174" s="215"/>
      <c r="H174" s="209"/>
      <c r="I174" s="209"/>
      <c r="K174" s="209"/>
    </row>
    <row r="175" spans="1:11" ht="12.75">
      <c r="A175" s="215"/>
      <c r="B175" s="215"/>
      <c r="D175" s="215"/>
      <c r="H175" s="209"/>
      <c r="I175" s="209"/>
      <c r="K175" s="209"/>
    </row>
    <row r="176" spans="1:11" ht="12.75">
      <c r="A176" s="215"/>
      <c r="B176" s="215"/>
      <c r="D176" s="215"/>
      <c r="H176" s="209"/>
      <c r="I176" s="209"/>
      <c r="K176" s="209"/>
    </row>
    <row r="177" spans="1:11" ht="12.75">
      <c r="A177" s="215"/>
      <c r="B177" s="215"/>
      <c r="D177" s="215"/>
      <c r="H177" s="209"/>
      <c r="I177" s="209"/>
      <c r="K177" s="209"/>
    </row>
    <row r="178" spans="1:11" ht="12.75">
      <c r="A178" s="215"/>
      <c r="B178" s="215"/>
      <c r="D178" s="215"/>
      <c r="H178" s="209"/>
      <c r="I178" s="209"/>
      <c r="K178" s="209"/>
    </row>
    <row r="179" spans="1:11" ht="12.75">
      <c r="A179" s="215"/>
      <c r="B179" s="215"/>
      <c r="D179" s="215"/>
      <c r="H179" s="209"/>
      <c r="I179" s="209"/>
      <c r="K179" s="209"/>
    </row>
    <row r="180" spans="1:11" ht="12.75">
      <c r="A180" s="215"/>
      <c r="B180" s="215"/>
      <c r="D180" s="215"/>
      <c r="H180" s="209"/>
      <c r="I180" s="209"/>
      <c r="K180" s="209"/>
    </row>
    <row r="181" spans="1:11" ht="12.75">
      <c r="A181" s="215"/>
      <c r="B181" s="215"/>
      <c r="D181" s="215"/>
      <c r="H181" s="209"/>
      <c r="I181" s="209"/>
      <c r="K181" s="209"/>
    </row>
    <row r="182" spans="1:11" ht="12.75">
      <c r="A182" s="215"/>
      <c r="B182" s="215"/>
      <c r="D182" s="215"/>
      <c r="H182" s="209"/>
      <c r="I182" s="209"/>
      <c r="K182" s="209"/>
    </row>
  </sheetData>
  <sheetProtection password="D28B" sheet="1"/>
  <mergeCells count="22">
    <mergeCell ref="K24:K25"/>
    <mergeCell ref="I24:I25"/>
    <mergeCell ref="C31:C32"/>
    <mergeCell ref="D31:D32"/>
    <mergeCell ref="E31:E32"/>
    <mergeCell ref="A2:I2"/>
    <mergeCell ref="A3:I3"/>
    <mergeCell ref="A4:I4"/>
    <mergeCell ref="D24:D25"/>
    <mergeCell ref="E24:E25"/>
    <mergeCell ref="K31:K32"/>
    <mergeCell ref="F31:F32"/>
    <mergeCell ref="A6:I6"/>
    <mergeCell ref="H31:H32"/>
    <mergeCell ref="H24:H25"/>
    <mergeCell ref="I31:I32"/>
    <mergeCell ref="F24:F25"/>
    <mergeCell ref="G24:G25"/>
    <mergeCell ref="G31:G32"/>
    <mergeCell ref="A10:I10"/>
    <mergeCell ref="A13:B13"/>
    <mergeCell ref="A31:A32"/>
  </mergeCells>
  <printOptions horizontalCentered="1" verticalCentered="1"/>
  <pageMargins left="0.3937007874015748" right="0.5118110236220472" top="0.7874015748031497" bottom="0.7874015748031497" header="0.31496062992125984" footer="0.31496062992125984"/>
  <pageSetup horizontalDpi="300" verticalDpi="300" orientation="landscape" paperSize="9" scale="9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USER-PC</cp:lastModifiedBy>
  <cp:lastPrinted>2019-07-13T12:35:00Z</cp:lastPrinted>
  <dcterms:created xsi:type="dcterms:W3CDTF">2006-09-22T13:55:22Z</dcterms:created>
  <dcterms:modified xsi:type="dcterms:W3CDTF">2019-07-13T12:46:22Z</dcterms:modified>
  <cp:category/>
  <cp:version/>
  <cp:contentType/>
  <cp:contentStatus/>
</cp:coreProperties>
</file>